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rosorio\Downloads\"/>
    </mc:Choice>
  </mc:AlternateContent>
  <xr:revisionPtr revIDLastSave="0" documentId="13_ncr:1_{07F71560-04F0-4C27-8143-B75C188905B9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Estructura De Ingresos" sheetId="5" r:id="rId1"/>
    <sheet name="Consolidado Estructur De Ingres" sheetId="6" r:id="rId2"/>
    <sheet name="cartera" sheetId="2" state="hidden" r:id="rId3"/>
  </sheets>
  <definedNames>
    <definedName name="_xlnm.Print_Area" localSheetId="0">'Estructura De Ingresos'!$A$1:$E$91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7" i="5" l="1"/>
  <c r="I85" i="5"/>
  <c r="I84" i="5"/>
  <c r="I83" i="5"/>
  <c r="I82" i="5"/>
  <c r="I81" i="5"/>
  <c r="I80" i="5"/>
  <c r="I76" i="5"/>
  <c r="I75" i="5"/>
  <c r="I74" i="5"/>
  <c r="I73" i="5"/>
  <c r="I68" i="5"/>
  <c r="I60" i="5"/>
  <c r="I59" i="5"/>
  <c r="I53" i="5"/>
  <c r="I51" i="5"/>
  <c r="I50" i="5" s="1"/>
  <c r="I43" i="5"/>
  <c r="I42" i="5" s="1"/>
  <c r="I40" i="5"/>
  <c r="I39" i="5"/>
  <c r="I38" i="5"/>
  <c r="I37" i="5"/>
  <c r="I36" i="5"/>
  <c r="I24" i="5"/>
  <c r="I23" i="5"/>
  <c r="I22" i="5"/>
  <c r="H20" i="5"/>
  <c r="G20" i="5"/>
  <c r="F20" i="5"/>
  <c r="I18" i="5"/>
  <c r="I17" i="5"/>
  <c r="I16" i="5"/>
  <c r="I15" i="5"/>
  <c r="H14" i="5"/>
  <c r="H12" i="5" s="1"/>
  <c r="G14" i="5"/>
  <c r="G12" i="5" s="1"/>
  <c r="F14" i="5"/>
  <c r="F12" i="5" s="1"/>
  <c r="E88" i="5"/>
  <c r="E87" i="5" s="1"/>
  <c r="E68" i="5"/>
  <c r="E42" i="5"/>
  <c r="E84" i="5"/>
  <c r="E83" i="5"/>
  <c r="E81" i="5"/>
  <c r="E79" i="5"/>
  <c r="E76" i="5"/>
  <c r="E75" i="5"/>
  <c r="E74" i="5"/>
  <c r="E73" i="5"/>
  <c r="E60" i="5"/>
  <c r="E59" i="5"/>
  <c r="E53" i="5"/>
  <c r="E52" i="5"/>
  <c r="E51" i="5"/>
  <c r="E40" i="5"/>
  <c r="E39" i="5"/>
  <c r="E38" i="5"/>
  <c r="E37" i="5"/>
  <c r="E36" i="5"/>
  <c r="E22" i="5"/>
  <c r="E18" i="5"/>
  <c r="D20" i="5"/>
  <c r="D14" i="5"/>
  <c r="D12" i="5" s="1"/>
  <c r="D10" i="5" s="1"/>
  <c r="C24" i="5"/>
  <c r="C23" i="5"/>
  <c r="E23" i="5" s="1"/>
  <c r="C17" i="5"/>
  <c r="E17" i="5" s="1"/>
  <c r="C16" i="5"/>
  <c r="E16" i="5" s="1"/>
  <c r="C15" i="5"/>
  <c r="E15" i="5" s="1"/>
  <c r="I48" i="5" l="1"/>
  <c r="I58" i="5"/>
  <c r="I72" i="5"/>
  <c r="I20" i="5"/>
  <c r="I35" i="5"/>
  <c r="F26" i="5"/>
  <c r="G26" i="5"/>
  <c r="I78" i="5"/>
  <c r="G10" i="5"/>
  <c r="I14" i="5"/>
  <c r="I12" i="5" s="1"/>
  <c r="F10" i="5"/>
  <c r="C14" i="5"/>
  <c r="C12" i="5" s="1"/>
  <c r="H26" i="5"/>
  <c r="H10" i="5"/>
  <c r="E58" i="5"/>
  <c r="E78" i="5"/>
  <c r="C20" i="5"/>
  <c r="D26" i="5"/>
  <c r="E72" i="5"/>
  <c r="E14" i="5"/>
  <c r="E12" i="5" s="1"/>
  <c r="E35" i="5"/>
  <c r="E50" i="5"/>
  <c r="E48" i="5" s="1"/>
  <c r="E24" i="5"/>
  <c r="E20" i="5" s="1"/>
  <c r="F45" i="2"/>
  <c r="I66" i="5" l="1"/>
  <c r="H68" i="5" s="1"/>
  <c r="I33" i="5"/>
  <c r="I26" i="5"/>
  <c r="C10" i="5"/>
  <c r="E26" i="5"/>
  <c r="E10" i="5"/>
  <c r="E66" i="5"/>
  <c r="F68" i="5" s="1"/>
  <c r="I10" i="5"/>
  <c r="C26" i="5"/>
  <c r="E33" i="5"/>
  <c r="F18" i="2"/>
  <c r="F12" i="2" l="1"/>
  <c r="F53" i="2"/>
  <c r="F42" i="2"/>
  <c r="F41" i="2"/>
  <c r="F36" i="2"/>
  <c r="F35" i="2"/>
  <c r="F30" i="2"/>
  <c r="F11" i="2"/>
  <c r="F10" i="2"/>
  <c r="F9" i="2"/>
  <c r="F8" i="2"/>
  <c r="F43" i="2" l="1"/>
  <c r="F37" i="2"/>
  <c r="F32" i="2"/>
  <c r="F55" i="2" l="1"/>
  <c r="F7" i="2"/>
  <c r="J1" i="2" s="1"/>
  <c r="F13" i="2" l="1"/>
  <c r="F57" i="2" s="1"/>
  <c r="F20" i="2" l="1"/>
  <c r="F59" i="2" l="1"/>
  <c r="F61" i="2" s="1"/>
</calcChain>
</file>

<file path=xl/sharedStrings.xml><?xml version="1.0" encoding="utf-8"?>
<sst xmlns="http://schemas.openxmlformats.org/spreadsheetml/2006/main" count="278" uniqueCount="139">
  <si>
    <t>ACUMULADO</t>
  </si>
  <si>
    <t>B. RECURSOS DE CAPITAL</t>
  </si>
  <si>
    <t xml:space="preserve"> </t>
  </si>
  <si>
    <t>C O N C E P T O</t>
  </si>
  <si>
    <t>NUMERAL</t>
  </si>
  <si>
    <t>AFORO</t>
  </si>
  <si>
    <t>RECAUDO EFECTIVO</t>
  </si>
  <si>
    <t>TOTAL DE LA SECCION</t>
  </si>
  <si>
    <t>A. INGRESOS CORRIENTES</t>
  </si>
  <si>
    <t xml:space="preserve">DEVOLUCIONES </t>
  </si>
  <si>
    <t>PAGADAS ACUMULADAS</t>
  </si>
  <si>
    <t>ACUM. NETO</t>
  </si>
  <si>
    <t>Fuente: Subdirección Financiera - Sistema SIIF Nación.</t>
  </si>
  <si>
    <t>NOTAS EXPLICATIVAS</t>
  </si>
  <si>
    <t>Excedentes financieros</t>
  </si>
  <si>
    <t>3-1-01</t>
  </si>
  <si>
    <t>RECURSOS PROPIOS DE ESTABLECIMIENTOS PÚBLICOS</t>
  </si>
  <si>
    <t>3-1-01-1</t>
  </si>
  <si>
    <t>3-1-01-2</t>
  </si>
  <si>
    <t>3-1-01-2-05-1-02</t>
  </si>
  <si>
    <t>Depósitos</t>
  </si>
  <si>
    <t>3-1-01-2-13</t>
  </si>
  <si>
    <t>TASAS Y DERECHOS ADMINISTRATIVOS</t>
  </si>
  <si>
    <t>3-1-01-1-02-2</t>
  </si>
  <si>
    <t>3-1-01-1-02-2-42</t>
  </si>
  <si>
    <t>3-1-01-1-02-2-74</t>
  </si>
  <si>
    <t>Habilitacion para provision de redes</t>
  </si>
  <si>
    <t>Permiso para el uso del espectro</t>
  </si>
  <si>
    <t>3-1-01-1-02-3</t>
  </si>
  <si>
    <t>MULTAS, SANCIONES E INTERESES DE MORA</t>
  </si>
  <si>
    <t>3-1-01-1-02-3-01-05</t>
  </si>
  <si>
    <t>3-1-01-1-02-3-01-04</t>
  </si>
  <si>
    <t>3-1-01-1-02-3-02</t>
  </si>
  <si>
    <t>3-1-01-1-02-5-01</t>
  </si>
  <si>
    <t>VENTAS DE ESTABLECIMIENTOS DE MERCADO</t>
  </si>
  <si>
    <t>3-1-01-1-02-5-01-08-9-1</t>
  </si>
  <si>
    <t>RECURSOS DE CAPITAL</t>
  </si>
  <si>
    <t>3-1-01-2-01</t>
  </si>
  <si>
    <t>Sanciones contractuales</t>
  </si>
  <si>
    <t>Sanciones administrativas</t>
  </si>
  <si>
    <t>Intereses de mora</t>
  </si>
  <si>
    <t>Servicios de edición,impresión y reproducción</t>
  </si>
  <si>
    <t>REINTEGROS Y OTROS RECURSOS NO APROPIADOS</t>
  </si>
  <si>
    <t>Radioaficionados-Banda ciudadana</t>
  </si>
  <si>
    <t>*  Con  afectación en Cartera</t>
  </si>
  <si>
    <t>*  Sin  afectación en Cartera</t>
  </si>
  <si>
    <t>3-1-01-1-02</t>
  </si>
  <si>
    <t>INGRESOS NO TRIBUTARIOS</t>
  </si>
  <si>
    <t>3-1-01-1-02-5</t>
  </si>
  <si>
    <t>VENTA DE BIENES Y SERVICIOS</t>
  </si>
  <si>
    <t>3-1-01-1-02-5-01-07-2-1</t>
  </si>
  <si>
    <t>Servicios inmobiliarios (arriendos)</t>
  </si>
  <si>
    <t>Reintegro gastos de funcionamiento</t>
  </si>
  <si>
    <t>Reintegro gastos de inversion</t>
  </si>
  <si>
    <t>3-1-01-2-13-1-05</t>
  </si>
  <si>
    <t>DEVOLUCIONES</t>
  </si>
  <si>
    <t>3-1-01-2-05-1-02-01</t>
  </si>
  <si>
    <t>INTERESES SOBRE DEPOSTOS EN INSTITUCIONES FINANCIERAS</t>
  </si>
  <si>
    <t>3-1-01-1-02-2-51</t>
  </si>
  <si>
    <t>Explotación de Concesiones de Televisión-Antv</t>
  </si>
  <si>
    <t>FONDO UNICO DE TECNOLOGIA DE LA INFORMACION Y LA COMUNICACIONES</t>
  </si>
  <si>
    <t>GIT de Tesoreria.  Perfil Gestion Ingresos</t>
  </si>
  <si>
    <t>SECCION:        230600</t>
  </si>
  <si>
    <t xml:space="preserve">Excedentes financieros trasladados a la nacion </t>
  </si>
  <si>
    <t>3-1-01-2-01-2-03</t>
  </si>
  <si>
    <t>Venta de otros activos no financieros</t>
  </si>
  <si>
    <t>ANALISIS DEL CUADRO DE RECAUDO  2020 -  PUBLICACION EN LA WEB</t>
  </si>
  <si>
    <t>RUBRO PRESUPUESTAL</t>
  </si>
  <si>
    <t>DATOS DEL INFORME QUE AFECTA CARTERA</t>
  </si>
  <si>
    <t>VALORES</t>
  </si>
  <si>
    <t>Sanciones administrativas - Con afectacion en cartera</t>
  </si>
  <si>
    <t>TOTAL INFORMACION PARA CRUZAR CON CARTERA</t>
  </si>
  <si>
    <t>Subtotal 1</t>
  </si>
  <si>
    <t>DATOS DEL INFORME SIN AFECTACION EN  CARTERA</t>
  </si>
  <si>
    <t>Sanciones administrativas - Sin afectacion en cartera</t>
  </si>
  <si>
    <t>TOTAL INFORMACION SIN AFECTACION EN  CARTERA</t>
  </si>
  <si>
    <t>Subtotal 2</t>
  </si>
  <si>
    <t xml:space="preserve">TOTAL DE LA EJECUCION PRESUPUESTAL DE INGRESOS </t>
  </si>
  <si>
    <t>Subtotales 1 y 2</t>
  </si>
  <si>
    <t>Excedentes financieros - Capitalizados</t>
  </si>
  <si>
    <t xml:space="preserve">Excedentes financieros </t>
  </si>
  <si>
    <t>3-1-01-2-05-3-01</t>
  </si>
  <si>
    <t>RENDIMIENTOS RECURSOS ENTREGADOS EN ADMINISTRACION</t>
  </si>
  <si>
    <t>3-1-01-2-05-3-06</t>
  </si>
  <si>
    <t>RENDIMIENTOS FINANCIEROSSOBRE TRANSFERENCIAS OSUBVENCIONESCONDICIONADAS</t>
  </si>
  <si>
    <t>3-1-01-2-05-1-02-04</t>
  </si>
  <si>
    <t>Intereses sobre depostos en instituciones financieras</t>
  </si>
  <si>
    <t>Rendimientos recursos entregados en administracion</t>
  </si>
  <si>
    <t>Rendimientos financierossobre transferencias osubvencionescondicionadas</t>
  </si>
  <si>
    <t>3-1-01-2-13-1-03</t>
  </si>
  <si>
    <t>3-1-01-2-13-1-14</t>
  </si>
  <si>
    <t>Reintegros de Subvenciones Condicionadas</t>
  </si>
  <si>
    <t>3-1-01-2-05-1-02-05</t>
  </si>
  <si>
    <t>Ganancias por Derechos en Fideicomisos</t>
  </si>
  <si>
    <t>3-1-01-2-13-1-15</t>
  </si>
  <si>
    <t>3-1-01-2-13-1-17</t>
  </si>
  <si>
    <t>Reintegro total o parcial de recursos en administración.</t>
  </si>
  <si>
    <t>Reintegro total o parcila de encago en Fideicomiso</t>
  </si>
  <si>
    <t>3-1-01-1-02-3-02-01</t>
  </si>
  <si>
    <t>3-1-01-2-13-1-13</t>
  </si>
  <si>
    <t>Reintegros de Trasferencias Condicionadas</t>
  </si>
  <si>
    <t>3-1-01-1-02-2-90</t>
  </si>
  <si>
    <t>Adminsitración del Dominio de Internet de Colombia (CTLD.CO)</t>
  </si>
  <si>
    <t>3-1-01-2-02</t>
  </si>
  <si>
    <t>RENDIMIENTOS FINANCIEROS</t>
  </si>
  <si>
    <t>3-1-01-2-05</t>
  </si>
  <si>
    <t>TASAS Y DERECHOS ADMINISTRATIVOS **</t>
  </si>
  <si>
    <t>INICIAL</t>
  </si>
  <si>
    <t>Contraprestacion para la Provision de Redes y Servicios</t>
  </si>
  <si>
    <t>3-1-01-1-02-3-02-03</t>
  </si>
  <si>
    <t>Sentencias</t>
  </si>
  <si>
    <t>Rendimientos Recursos Entregados en Administración</t>
  </si>
  <si>
    <t>3-1-01-1-02-6-02-03</t>
  </si>
  <si>
    <t>3-1-01-1-02-6</t>
  </si>
  <si>
    <t>TRANSFERENCIAS CORRIENTES</t>
  </si>
  <si>
    <t>Costas Procesales</t>
  </si>
  <si>
    <t>3-1-01-2-13-1-18</t>
  </si>
  <si>
    <t>A MARZO DE 2024</t>
  </si>
  <si>
    <t>Reintegro de transferencias no condicionadas</t>
  </si>
  <si>
    <t>A DICIEMBRE DE 2023</t>
  </si>
  <si>
    <t>ENERO A DICIEMBRE DE 2023</t>
  </si>
  <si>
    <t>ENERO A MARZO DE 2024</t>
  </si>
  <si>
    <t>INFORME DE EJECUCION DE INGRESOS</t>
  </si>
  <si>
    <t>Ingresos corrientes</t>
  </si>
  <si>
    <t>Ingresos Corrientes contraprestaciones</t>
  </si>
  <si>
    <t>Otros Ingresos Corrientes</t>
  </si>
  <si>
    <t>Total ingresos corrientes</t>
  </si>
  <si>
    <t>Recursos Capital* (A)</t>
  </si>
  <si>
    <t>Menos Devoluciones</t>
  </si>
  <si>
    <t>Ingresos Netos</t>
  </si>
  <si>
    <t>* Los recursos de capital  incluyen los valores de excedentes financieros los cuales no manejan movimiento de caja.</t>
  </si>
  <si>
    <t>Fuente:  Sistema SEVEN modulo de ingresos</t>
  </si>
  <si>
    <t>* Los recursos de capital  incluyen los valores de excedentes financieros los cuales no manejan movimiento de caja.
(A) La meta de aforo incluye la adición para la vigencia 2023 por $70mil millones</t>
  </si>
  <si>
    <t>%</t>
  </si>
  <si>
    <t>Meta aforo corriente</t>
  </si>
  <si>
    <t xml:space="preserve">% </t>
  </si>
  <si>
    <t>FONDO ÚNICO TIC
CON SOLIDADO POR CONCEPTO DE INGRESOS
EJECUCIÓN INGRESOS</t>
  </si>
  <si>
    <t>Concepto</t>
  </si>
  <si>
    <t xml:space="preserve">Menos Devoluciones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</si>
</sst>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(* #,##0_);_(* \(#,##0\);_(* &quot;-&quot;_);_(@_)"/>
    <numFmt numFmtId="167" formatCode="_-* #.##0.00_-;\-* #.##0.00_-;_-* &quot;-&quot;??_-;_-@_-"/>
    <numFmt numFmtId="168" formatCode="_ * #,##0.00_ ;_ * \-#,##0.00_ ;_ * &quot;-&quot;??_ ;_ @_ "/>
    <numFmt numFmtId="169" formatCode="_ [$€-2]\ * #,##0.00_ ;_ [$€-2]\ * \-#,##0.00_ ;_ [$€-2]\ * &quot;-&quot;??_ 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8"/>
      <name val="Bookman Old Style"/>
      <family val="1"/>
    </font>
    <font>
      <b/>
      <sz val="9"/>
      <name val="Bookman Old Style"/>
      <family val="1"/>
    </font>
    <font>
      <i/>
      <sz val="12"/>
      <name val="Bookman Old Style"/>
      <family val="1"/>
    </font>
    <font>
      <b/>
      <sz val="11"/>
      <name val="Bookman Old Style"/>
      <family val="1"/>
    </font>
    <font>
      <i/>
      <sz val="9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sz val="9"/>
      <name val="Calibri"/>
      <family val="2"/>
    </font>
    <font>
      <b/>
      <sz val="9"/>
      <name val="Arial Narrow"/>
      <family val="2"/>
    </font>
    <font>
      <sz val="11"/>
      <name val="Calibri"/>
      <family val="2"/>
    </font>
    <font>
      <u/>
      <sz val="9"/>
      <name val="Arial"/>
      <family val="2"/>
    </font>
    <font>
      <b/>
      <i/>
      <sz val="7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b/>
      <sz val="7"/>
      <name val="Arial Narrow"/>
      <family val="2"/>
    </font>
    <font>
      <sz val="8"/>
      <name val="Times New Roman"/>
      <family val="1"/>
    </font>
    <font>
      <sz val="6"/>
      <name val="Times New Roman"/>
      <family val="1"/>
    </font>
    <font>
      <b/>
      <sz val="10"/>
      <name val="Arial"/>
      <family val="2"/>
    </font>
    <font>
      <sz val="10"/>
      <color indexed="8"/>
      <name val="MS Sans Serif"/>
    </font>
    <font>
      <sz val="7.5"/>
      <color indexed="8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</font>
    <font>
      <b/>
      <sz val="14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FC081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6">
    <xf numFmtId="0" fontId="0" fillId="0" borderId="0"/>
    <xf numFmtId="165" fontId="10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169" fontId="24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24" fillId="0" borderId="0"/>
    <xf numFmtId="169" fontId="24" fillId="0" borderId="0"/>
    <xf numFmtId="0" fontId="24" fillId="0" borderId="0"/>
    <xf numFmtId="0" fontId="24" fillId="0" borderId="0"/>
    <xf numFmtId="169" fontId="24" fillId="0" borderId="0"/>
    <xf numFmtId="0" fontId="24" fillId="0" borderId="0"/>
    <xf numFmtId="0" fontId="24" fillId="0" borderId="0"/>
    <xf numFmtId="169" fontId="24" fillId="0" borderId="0"/>
    <xf numFmtId="169" fontId="24" fillId="0" borderId="0"/>
    <xf numFmtId="169" fontId="24" fillId="0" borderId="0"/>
    <xf numFmtId="0" fontId="24" fillId="0" borderId="0"/>
    <xf numFmtId="0" fontId="22" fillId="0" borderId="0"/>
    <xf numFmtId="9" fontId="27" fillId="0" borderId="0" applyFont="0" applyFill="0" applyBorder="0" applyAlignment="0" applyProtection="0"/>
  </cellStyleXfs>
  <cellXfs count="222">
    <xf numFmtId="0" fontId="0" fillId="0" borderId="0" xfId="0"/>
    <xf numFmtId="0" fontId="2" fillId="0" borderId="0" xfId="0" applyFont="1"/>
    <xf numFmtId="3" fontId="3" fillId="0" borderId="0" xfId="0" applyNumberFormat="1" applyFont="1"/>
    <xf numFmtId="3" fontId="2" fillId="0" borderId="0" xfId="0" applyNumberFormat="1" applyFont="1"/>
    <xf numFmtId="165" fontId="11" fillId="0" borderId="0" xfId="1" applyFont="1" applyFill="1" applyBorder="1"/>
    <xf numFmtId="0" fontId="3" fillId="0" borderId="0" xfId="0" applyFont="1"/>
    <xf numFmtId="0" fontId="11" fillId="0" borderId="0" xfId="0" applyFont="1"/>
    <xf numFmtId="3" fontId="3" fillId="0" borderId="0" xfId="1" applyNumberFormat="1" applyFont="1" applyFill="1" applyBorder="1"/>
    <xf numFmtId="3" fontId="9" fillId="0" borderId="0" xfId="0" applyNumberFormat="1" applyFont="1"/>
    <xf numFmtId="3" fontId="9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65" fontId="17" fillId="0" borderId="0" xfId="1" applyFont="1" applyFill="1" applyBorder="1" applyAlignment="1"/>
    <xf numFmtId="0" fontId="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0" fillId="0" borderId="0" xfId="0" applyFont="1"/>
    <xf numFmtId="49" fontId="2" fillId="0" borderId="0" xfId="0" applyNumberFormat="1" applyFont="1" applyAlignment="1">
      <alignment horizontal="left"/>
    </xf>
    <xf numFmtId="3" fontId="3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3" fontId="2" fillId="0" borderId="0" xfId="0" applyNumberFormat="1" applyFont="1" applyAlignment="1">
      <alignment vertical="top"/>
    </xf>
    <xf numFmtId="0" fontId="3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0" fontId="19" fillId="0" borderId="0" xfId="0" applyFont="1" applyAlignment="1">
      <alignment vertical="top" wrapText="1" readingOrder="1"/>
    </xf>
    <xf numFmtId="0" fontId="20" fillId="0" borderId="0" xfId="0" applyFont="1" applyAlignment="1">
      <alignment vertical="top" wrapText="1"/>
    </xf>
    <xf numFmtId="0" fontId="21" fillId="0" borderId="0" xfId="0" applyFont="1"/>
    <xf numFmtId="0" fontId="2" fillId="0" borderId="6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5" xfId="0" applyFont="1" applyBorder="1"/>
    <xf numFmtId="166" fontId="3" fillId="0" borderId="0" xfId="1" applyNumberFormat="1" applyFont="1" applyFill="1" applyBorder="1"/>
    <xf numFmtId="4" fontId="3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3" fontId="21" fillId="0" borderId="7" xfId="0" applyNumberFormat="1" applyFont="1" applyBorder="1"/>
    <xf numFmtId="0" fontId="2" fillId="0" borderId="11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 applyAlignment="1">
      <alignment vertical="top"/>
    </xf>
    <xf numFmtId="0" fontId="17" fillId="0" borderId="0" xfId="1" applyNumberFormat="1" applyFont="1" applyFill="1" applyBorder="1" applyAlignment="1"/>
    <xf numFmtId="0" fontId="2" fillId="0" borderId="4" xfId="0" applyFont="1" applyBorder="1" applyAlignment="1">
      <alignment horizontal="left"/>
    </xf>
    <xf numFmtId="0" fontId="11" fillId="0" borderId="0" xfId="1" applyNumberFormat="1" applyFont="1" applyFill="1" applyBorder="1"/>
    <xf numFmtId="0" fontId="3" fillId="0" borderId="4" xfId="0" applyFont="1" applyBorder="1" applyAlignment="1">
      <alignment horizontal="left"/>
    </xf>
    <xf numFmtId="3" fontId="3" fillId="0" borderId="7" xfId="0" applyNumberFormat="1" applyFont="1" applyBorder="1"/>
    <xf numFmtId="3" fontId="3" fillId="0" borderId="7" xfId="1" applyNumberFormat="1" applyFont="1" applyFill="1" applyBorder="1"/>
    <xf numFmtId="165" fontId="21" fillId="0" borderId="11" xfId="1" applyFont="1" applyFill="1" applyBorder="1"/>
    <xf numFmtId="165" fontId="10" fillId="0" borderId="9" xfId="1" applyFont="1" applyFill="1" applyBorder="1"/>
    <xf numFmtId="4" fontId="2" fillId="0" borderId="0" xfId="0" applyNumberFormat="1" applyFont="1"/>
    <xf numFmtId="0" fontId="8" fillId="0" borderId="0" xfId="0" applyFont="1" applyAlignment="1">
      <alignment horizontal="left"/>
    </xf>
    <xf numFmtId="3" fontId="3" fillId="0" borderId="11" xfId="0" applyNumberFormat="1" applyFont="1" applyBorder="1" applyAlignment="1">
      <alignment vertical="top"/>
    </xf>
    <xf numFmtId="3" fontId="10" fillId="0" borderId="9" xfId="0" applyNumberFormat="1" applyFont="1" applyBorder="1"/>
    <xf numFmtId="165" fontId="10" fillId="0" borderId="0" xfId="1" applyFont="1" applyFill="1"/>
    <xf numFmtId="0" fontId="10" fillId="0" borderId="1" xfId="0" applyFont="1" applyBorder="1"/>
    <xf numFmtId="0" fontId="10" fillId="0" borderId="2" xfId="0" applyFont="1" applyBorder="1"/>
    <xf numFmtId="0" fontId="10" fillId="0" borderId="3" xfId="0" applyFont="1" applyBorder="1"/>
    <xf numFmtId="0" fontId="10" fillId="0" borderId="4" xfId="0" applyFont="1" applyBorder="1"/>
    <xf numFmtId="0" fontId="10" fillId="0" borderId="5" xfId="0" applyFont="1" applyBorder="1"/>
    <xf numFmtId="0" fontId="2" fillId="0" borderId="4" xfId="0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3" fillId="0" borderId="4" xfId="0" applyFont="1" applyBorder="1" applyAlignment="1">
      <alignment horizontal="left" vertical="top"/>
    </xf>
    <xf numFmtId="0" fontId="19" fillId="0" borderId="4" xfId="0" applyFont="1" applyBorder="1" applyAlignment="1">
      <alignment vertical="top"/>
    </xf>
    <xf numFmtId="3" fontId="10" fillId="0" borderId="0" xfId="0" applyNumberFormat="1" applyFont="1"/>
    <xf numFmtId="0" fontId="10" fillId="0" borderId="8" xfId="0" applyFont="1" applyBorder="1"/>
    <xf numFmtId="0" fontId="10" fillId="0" borderId="9" xfId="0" applyFont="1" applyBorder="1"/>
    <xf numFmtId="0" fontId="10" fillId="0" borderId="10" xfId="0" applyFont="1" applyBorder="1"/>
    <xf numFmtId="167" fontId="10" fillId="0" borderId="0" xfId="0" applyNumberFormat="1" applyFont="1"/>
    <xf numFmtId="3" fontId="10" fillId="0" borderId="2" xfId="0" applyNumberFormat="1" applyFont="1" applyBorder="1"/>
    <xf numFmtId="4" fontId="19" fillId="0" borderId="0" xfId="0" applyNumberFormat="1" applyFont="1" applyAlignment="1">
      <alignment vertical="top"/>
    </xf>
    <xf numFmtId="3" fontId="3" fillId="0" borderId="7" xfId="0" applyNumberFormat="1" applyFont="1" applyBorder="1" applyAlignment="1">
      <alignment vertical="top"/>
    </xf>
    <xf numFmtId="165" fontId="2" fillId="0" borderId="0" xfId="1" applyFont="1" applyFill="1" applyBorder="1" applyAlignment="1">
      <alignment vertical="top"/>
    </xf>
    <xf numFmtId="0" fontId="3" fillId="0" borderId="0" xfId="0" applyFont="1" applyAlignment="1">
      <alignment vertical="top" wrapText="1" readingOrder="1"/>
    </xf>
    <xf numFmtId="3" fontId="2" fillId="0" borderId="0" xfId="0" applyNumberFormat="1" applyFont="1" applyAlignment="1" applyProtection="1">
      <alignment vertical="top"/>
      <protection locked="0"/>
    </xf>
    <xf numFmtId="0" fontId="2" fillId="0" borderId="0" xfId="0" applyFont="1" applyAlignment="1">
      <alignment vertical="top" wrapText="1" readingOrder="1"/>
    </xf>
    <xf numFmtId="3" fontId="10" fillId="0" borderId="7" xfId="0" applyNumberFormat="1" applyFont="1" applyBorder="1"/>
    <xf numFmtId="3" fontId="2" fillId="0" borderId="0" xfId="0" applyNumberFormat="1" applyFont="1" applyAlignment="1">
      <alignment vertical="top" wrapText="1"/>
    </xf>
    <xf numFmtId="3" fontId="17" fillId="0" borderId="0" xfId="1" applyNumberFormat="1" applyFont="1" applyFill="1" applyBorder="1" applyAlignment="1"/>
    <xf numFmtId="3" fontId="3" fillId="0" borderId="0" xfId="0" applyNumberFormat="1" applyFont="1" applyAlignment="1">
      <alignment vertical="top" wrapText="1"/>
    </xf>
    <xf numFmtId="3" fontId="3" fillId="0" borderId="0" xfId="0" applyNumberFormat="1" applyFont="1" applyAlignment="1">
      <alignment vertical="top" wrapText="1" readingOrder="1"/>
    </xf>
    <xf numFmtId="3" fontId="19" fillId="0" borderId="0" xfId="0" applyNumberFormat="1" applyFont="1" applyAlignment="1">
      <alignment vertical="top" wrapText="1" readingOrder="1"/>
    </xf>
    <xf numFmtId="3" fontId="11" fillId="0" borderId="0" xfId="1" applyNumberFormat="1" applyFont="1" applyFill="1" applyBorder="1"/>
    <xf numFmtId="3" fontId="2" fillId="0" borderId="0" xfId="0" applyNumberFormat="1" applyFont="1" applyAlignment="1">
      <alignment vertical="top" wrapText="1" readingOrder="1"/>
    </xf>
    <xf numFmtId="0" fontId="0" fillId="0" borderId="0" xfId="0" applyAlignment="1">
      <alignment vertical="top"/>
    </xf>
    <xf numFmtId="0" fontId="26" fillId="0" borderId="12" xfId="0" applyFont="1" applyBorder="1" applyAlignment="1">
      <alignment horizontal="left"/>
    </xf>
    <xf numFmtId="0" fontId="25" fillId="0" borderId="12" xfId="0" applyFont="1" applyBorder="1" applyAlignment="1">
      <alignment horizontal="left"/>
    </xf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3" fontId="2" fillId="2" borderId="0" xfId="0" applyNumberFormat="1" applyFont="1" applyFill="1"/>
    <xf numFmtId="0" fontId="3" fillId="2" borderId="0" xfId="0" applyFont="1" applyFill="1"/>
    <xf numFmtId="0" fontId="12" fillId="0" borderId="6" xfId="0" applyFont="1" applyBorder="1" applyAlignment="1">
      <alignment horizontal="left"/>
    </xf>
    <xf numFmtId="3" fontId="2" fillId="0" borderId="6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left"/>
    </xf>
    <xf numFmtId="3" fontId="12" fillId="0" borderId="6" xfId="0" applyNumberFormat="1" applyFont="1" applyBorder="1" applyAlignment="1">
      <alignment vertical="top" wrapText="1" readingOrder="1"/>
    </xf>
    <xf numFmtId="3" fontId="2" fillId="0" borderId="6" xfId="0" applyNumberFormat="1" applyFont="1" applyBorder="1" applyAlignment="1">
      <alignment horizontal="right"/>
    </xf>
    <xf numFmtId="0" fontId="2" fillId="0" borderId="6" xfId="0" applyFont="1" applyBorder="1" applyAlignment="1">
      <alignment horizontal="left"/>
    </xf>
    <xf numFmtId="3" fontId="9" fillId="0" borderId="6" xfId="0" applyNumberFormat="1" applyFont="1" applyBorder="1" applyAlignment="1">
      <alignment horizontal="left"/>
    </xf>
    <xf numFmtId="3" fontId="2" fillId="0" borderId="6" xfId="0" applyNumberFormat="1" applyFont="1" applyBorder="1"/>
    <xf numFmtId="3" fontId="15" fillId="0" borderId="6" xfId="0" applyNumberFormat="1" applyFont="1" applyBorder="1" applyAlignment="1">
      <alignment horizontal="left"/>
    </xf>
    <xf numFmtId="3" fontId="3" fillId="0" borderId="6" xfId="1" applyNumberFormat="1" applyFont="1" applyFill="1" applyBorder="1"/>
    <xf numFmtId="3" fontId="3" fillId="0" borderId="6" xfId="0" applyNumberFormat="1" applyFont="1" applyBorder="1" applyAlignment="1">
      <alignment vertical="top"/>
    </xf>
    <xf numFmtId="3" fontId="3" fillId="0" borderId="6" xfId="0" applyNumberFormat="1" applyFont="1" applyBorder="1"/>
    <xf numFmtId="3" fontId="18" fillId="0" borderId="6" xfId="0" applyNumberFormat="1" applyFont="1" applyBorder="1" applyAlignment="1">
      <alignment vertical="top" wrapText="1" readingOrder="1"/>
    </xf>
    <xf numFmtId="3" fontId="13" fillId="0" borderId="6" xfId="0" applyNumberFormat="1" applyFont="1" applyBorder="1"/>
    <xf numFmtId="0" fontId="3" fillId="0" borderId="6" xfId="0" applyFont="1" applyBorder="1" applyAlignment="1">
      <alignment horizontal="left"/>
    </xf>
    <xf numFmtId="3" fontId="3" fillId="0" borderId="6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horizontal="left" vertical="center"/>
    </xf>
    <xf numFmtId="3" fontId="3" fillId="0" borderId="6" xfId="0" applyNumberFormat="1" applyFont="1" applyBorder="1" applyAlignment="1" applyProtection="1">
      <alignment vertical="center"/>
      <protection locked="0"/>
    </xf>
    <xf numFmtId="3" fontId="9" fillId="0" borderId="6" xfId="0" applyNumberFormat="1" applyFont="1" applyBorder="1"/>
    <xf numFmtId="3" fontId="3" fillId="2" borderId="0" xfId="0" applyNumberFormat="1" applyFont="1" applyFill="1" applyAlignment="1">
      <alignment vertical="center"/>
    </xf>
    <xf numFmtId="0" fontId="0" fillId="2" borderId="0" xfId="0" applyFill="1" applyAlignment="1">
      <alignment vertical="top"/>
    </xf>
    <xf numFmtId="3" fontId="2" fillId="0" borderId="14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right"/>
    </xf>
    <xf numFmtId="3" fontId="2" fillId="0" borderId="14" xfId="0" applyNumberFormat="1" applyFont="1" applyBorder="1"/>
    <xf numFmtId="3" fontId="3" fillId="0" borderId="14" xfId="1" applyNumberFormat="1" applyFont="1" applyFill="1" applyBorder="1"/>
    <xf numFmtId="3" fontId="13" fillId="0" borderId="14" xfId="0" applyNumberFormat="1" applyFont="1" applyBorder="1"/>
    <xf numFmtId="3" fontId="3" fillId="0" borderId="14" xfId="0" applyNumberFormat="1" applyFont="1" applyBorder="1" applyAlignment="1">
      <alignment vertical="center"/>
    </xf>
    <xf numFmtId="3" fontId="2" fillId="0" borderId="18" xfId="0" applyNumberFormat="1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3" fontId="2" fillId="0" borderId="18" xfId="0" applyNumberFormat="1" applyFont="1" applyBorder="1" applyAlignment="1">
      <alignment horizontal="right"/>
    </xf>
    <xf numFmtId="3" fontId="2" fillId="0" borderId="19" xfId="0" applyNumberFormat="1" applyFont="1" applyBorder="1" applyAlignment="1">
      <alignment horizontal="right"/>
    </xf>
    <xf numFmtId="3" fontId="2" fillId="0" borderId="18" xfId="0" applyNumberFormat="1" applyFont="1" applyBorder="1"/>
    <xf numFmtId="3" fontId="2" fillId="0" borderId="19" xfId="0" applyNumberFormat="1" applyFont="1" applyBorder="1"/>
    <xf numFmtId="3" fontId="3" fillId="0" borderId="18" xfId="1" applyNumberFormat="1" applyFont="1" applyFill="1" applyBorder="1"/>
    <xf numFmtId="3" fontId="3" fillId="0" borderId="19" xfId="0" applyNumberFormat="1" applyFont="1" applyBorder="1" applyAlignment="1">
      <alignment horizontal="right"/>
    </xf>
    <xf numFmtId="3" fontId="13" fillId="0" borderId="18" xfId="0" applyNumberFormat="1" applyFont="1" applyBorder="1"/>
    <xf numFmtId="3" fontId="3" fillId="0" borderId="19" xfId="0" applyNumberFormat="1" applyFont="1" applyBorder="1"/>
    <xf numFmtId="3" fontId="3" fillId="0" borderId="18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2" fillId="0" borderId="20" xfId="0" applyNumberFormat="1" applyFont="1" applyBorder="1"/>
    <xf numFmtId="3" fontId="2" fillId="0" borderId="21" xfId="0" applyNumberFormat="1" applyFont="1" applyBorder="1"/>
    <xf numFmtId="3" fontId="2" fillId="0" borderId="22" xfId="0" applyNumberFormat="1" applyFont="1" applyBorder="1"/>
    <xf numFmtId="3" fontId="2" fillId="0" borderId="13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right"/>
    </xf>
    <xf numFmtId="3" fontId="2" fillId="0" borderId="13" xfId="0" applyNumberFormat="1" applyFont="1" applyBorder="1"/>
    <xf numFmtId="3" fontId="3" fillId="0" borderId="13" xfId="0" applyNumberFormat="1" applyFont="1" applyBorder="1" applyAlignment="1">
      <alignment horizontal="right"/>
    </xf>
    <xf numFmtId="3" fontId="3" fillId="0" borderId="13" xfId="0" applyNumberFormat="1" applyFont="1" applyBorder="1"/>
    <xf numFmtId="3" fontId="3" fillId="0" borderId="13" xfId="0" applyNumberFormat="1" applyFont="1" applyBorder="1" applyAlignment="1">
      <alignment vertical="center"/>
    </xf>
    <xf numFmtId="3" fontId="2" fillId="0" borderId="24" xfId="0" applyNumberFormat="1" applyFont="1" applyBorder="1"/>
    <xf numFmtId="3" fontId="14" fillId="0" borderId="18" xfId="0" applyNumberFormat="1" applyFont="1" applyBorder="1"/>
    <xf numFmtId="3" fontId="2" fillId="0" borderId="0" xfId="1" applyNumberFormat="1" applyFont="1" applyFill="1" applyBorder="1" applyAlignment="1">
      <alignment vertical="top"/>
    </xf>
    <xf numFmtId="3" fontId="3" fillId="2" borderId="0" xfId="0" applyNumberFormat="1" applyFont="1" applyFill="1"/>
    <xf numFmtId="3" fontId="11" fillId="0" borderId="0" xfId="0" applyNumberFormat="1" applyFont="1"/>
    <xf numFmtId="3" fontId="3" fillId="0" borderId="14" xfId="0" applyNumberFormat="1" applyFont="1" applyBorder="1" applyAlignment="1" applyProtection="1">
      <alignment vertical="center"/>
      <protection locked="0"/>
    </xf>
    <xf numFmtId="3" fontId="2" fillId="0" borderId="26" xfId="0" applyNumberFormat="1" applyFont="1" applyBorder="1"/>
    <xf numFmtId="0" fontId="10" fillId="0" borderId="6" xfId="0" applyFont="1" applyBorder="1"/>
    <xf numFmtId="0" fontId="5" fillId="2" borderId="6" xfId="0" applyFont="1" applyFill="1" applyBorder="1" applyAlignment="1">
      <alignment horizontal="left"/>
    </xf>
    <xf numFmtId="3" fontId="2" fillId="3" borderId="19" xfId="0" applyNumberFormat="1" applyFont="1" applyFill="1" applyBorder="1" applyAlignment="1">
      <alignment horizontal="center"/>
    </xf>
    <xf numFmtId="43" fontId="30" fillId="0" borderId="6" xfId="0" applyNumberFormat="1" applyFont="1" applyBorder="1" applyAlignment="1">
      <alignment horizontal="center" vertical="center"/>
    </xf>
    <xf numFmtId="10" fontId="30" fillId="0" borderId="19" xfId="25" applyNumberFormat="1" applyFont="1" applyFill="1" applyBorder="1" applyAlignment="1">
      <alignment horizontal="center" vertical="center"/>
    </xf>
    <xf numFmtId="43" fontId="29" fillId="0" borderId="6" xfId="0" applyNumberFormat="1" applyFont="1" applyBorder="1" applyAlignment="1">
      <alignment horizontal="center" vertical="center"/>
    </xf>
    <xf numFmtId="10" fontId="29" fillId="0" borderId="19" xfId="25" applyNumberFormat="1" applyFont="1" applyFill="1" applyBorder="1" applyAlignment="1">
      <alignment horizontal="center" vertical="center"/>
    </xf>
    <xf numFmtId="0" fontId="31" fillId="0" borderId="0" xfId="0" applyFont="1"/>
    <xf numFmtId="43" fontId="0" fillId="0" borderId="0" xfId="0" applyNumberFormat="1"/>
    <xf numFmtId="0" fontId="32" fillId="0" borderId="0" xfId="0" applyFont="1"/>
    <xf numFmtId="3" fontId="2" fillId="4" borderId="14" xfId="0" applyNumberFormat="1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3" fontId="2" fillId="4" borderId="13" xfId="0" applyNumberFormat="1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/>
    </xf>
    <xf numFmtId="3" fontId="2" fillId="3" borderId="18" xfId="0" applyNumberFormat="1" applyFont="1" applyFill="1" applyBorder="1" applyAlignment="1">
      <alignment horizontal="center"/>
    </xf>
    <xf numFmtId="3" fontId="2" fillId="3" borderId="6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16" fillId="3" borderId="6" xfId="0" applyFont="1" applyFill="1" applyBorder="1" applyAlignment="1">
      <alignment horizontal="center"/>
    </xf>
    <xf numFmtId="9" fontId="3" fillId="0" borderId="0" xfId="25" applyFont="1" applyBorder="1"/>
    <xf numFmtId="3" fontId="21" fillId="0" borderId="13" xfId="0" applyNumberFormat="1" applyFont="1" applyBorder="1" applyAlignment="1">
      <alignment horizontal="right"/>
    </xf>
    <xf numFmtId="3" fontId="21" fillId="0" borderId="19" xfId="0" applyNumberFormat="1" applyFont="1" applyBorder="1" applyAlignment="1">
      <alignment horizontal="right"/>
    </xf>
    <xf numFmtId="0" fontId="28" fillId="2" borderId="0" xfId="0" applyFont="1" applyFill="1" applyAlignment="1">
      <alignment horizontal="center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7" xfId="0" applyFont="1" applyFill="1" applyBorder="1" applyAlignment="1">
      <alignment horizontal="center"/>
    </xf>
    <xf numFmtId="0" fontId="8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7" fillId="4" borderId="25" xfId="0" applyFont="1" applyFill="1" applyBorder="1" applyAlignment="1">
      <alignment horizontal="center"/>
    </xf>
    <xf numFmtId="0" fontId="7" fillId="4" borderId="16" xfId="0" applyFont="1" applyFill="1" applyBorder="1" applyAlignment="1">
      <alignment horizontal="center"/>
    </xf>
    <xf numFmtId="0" fontId="7" fillId="4" borderId="23" xfId="0" applyFont="1" applyFill="1" applyBorder="1" applyAlignment="1">
      <alignment horizontal="center"/>
    </xf>
    <xf numFmtId="0" fontId="29" fillId="5" borderId="6" xfId="0" applyFont="1" applyFill="1" applyBorder="1" applyAlignment="1">
      <alignment horizontal="center" vertical="center" wrapText="1"/>
    </xf>
    <xf numFmtId="0" fontId="29" fillId="5" borderId="19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/>
    </xf>
    <xf numFmtId="0" fontId="21" fillId="5" borderId="14" xfId="0" applyFont="1" applyFill="1" applyBorder="1" applyAlignment="1">
      <alignment horizontal="center" vertical="center"/>
    </xf>
    <xf numFmtId="0" fontId="29" fillId="5" borderId="1" xfId="0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 vertical="center"/>
    </xf>
    <xf numFmtId="10" fontId="30" fillId="0" borderId="6" xfId="25" applyNumberFormat="1" applyFont="1" applyFill="1" applyBorder="1" applyAlignment="1">
      <alignment horizontal="center" vertical="center"/>
    </xf>
    <xf numFmtId="10" fontId="29" fillId="0" borderId="6" xfId="25" applyNumberFormat="1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top" wrapText="1"/>
    </xf>
    <xf numFmtId="0" fontId="21" fillId="5" borderId="19" xfId="0" applyFont="1" applyFill="1" applyBorder="1" applyAlignment="1">
      <alignment horizontal="center" vertical="center"/>
    </xf>
    <xf numFmtId="0" fontId="29" fillId="5" borderId="18" xfId="0" applyFont="1" applyFill="1" applyBorder="1" applyAlignment="1">
      <alignment horizontal="center" vertical="center" wrapText="1"/>
    </xf>
    <xf numFmtId="43" fontId="29" fillId="6" borderId="6" xfId="0" applyNumberFormat="1" applyFont="1" applyFill="1" applyBorder="1" applyAlignment="1">
      <alignment horizontal="center" vertical="center"/>
    </xf>
    <xf numFmtId="10" fontId="29" fillId="6" borderId="6" xfId="25" applyNumberFormat="1" applyFont="1" applyFill="1" applyBorder="1" applyAlignment="1">
      <alignment horizontal="center" vertical="center"/>
    </xf>
    <xf numFmtId="10" fontId="29" fillId="6" borderId="19" xfId="25" applyNumberFormat="1" applyFont="1" applyFill="1" applyBorder="1" applyAlignment="1">
      <alignment horizontal="center" vertical="center"/>
    </xf>
    <xf numFmtId="43" fontId="29" fillId="6" borderId="21" xfId="0" applyNumberFormat="1" applyFont="1" applyFill="1" applyBorder="1" applyAlignment="1">
      <alignment horizontal="center" vertical="center"/>
    </xf>
    <xf numFmtId="10" fontId="29" fillId="6" borderId="21" xfId="25" applyNumberFormat="1" applyFont="1" applyFill="1" applyBorder="1" applyAlignment="1">
      <alignment horizontal="center" vertical="center"/>
    </xf>
    <xf numFmtId="10" fontId="29" fillId="6" borderId="22" xfId="25" applyNumberFormat="1" applyFont="1" applyFill="1" applyBorder="1" applyAlignment="1">
      <alignment horizontal="center" vertical="center"/>
    </xf>
    <xf numFmtId="0" fontId="21" fillId="5" borderId="30" xfId="0" applyFont="1" applyFill="1" applyBorder="1" applyAlignment="1">
      <alignment horizontal="center" vertical="center"/>
    </xf>
    <xf numFmtId="0" fontId="29" fillId="5" borderId="2" xfId="0" applyFont="1" applyFill="1" applyBorder="1" applyAlignment="1">
      <alignment horizontal="center" vertical="center" wrapText="1"/>
    </xf>
    <xf numFmtId="0" fontId="29" fillId="5" borderId="3" xfId="0" applyFont="1" applyFill="1" applyBorder="1" applyAlignment="1">
      <alignment horizontal="center" vertical="center" wrapText="1"/>
    </xf>
    <xf numFmtId="0" fontId="29" fillId="5" borderId="4" xfId="0" applyFont="1" applyFill="1" applyBorder="1" applyAlignment="1">
      <alignment horizontal="center" vertical="center" wrapText="1"/>
    </xf>
    <xf numFmtId="0" fontId="29" fillId="5" borderId="0" xfId="0" applyFont="1" applyFill="1" applyBorder="1" applyAlignment="1">
      <alignment horizontal="center" vertical="center" wrapText="1"/>
    </xf>
    <xf numFmtId="0" fontId="29" fillId="5" borderId="5" xfId="0" applyFont="1" applyFill="1" applyBorder="1" applyAlignment="1">
      <alignment horizontal="center" vertical="center" wrapText="1"/>
    </xf>
    <xf numFmtId="0" fontId="29" fillId="5" borderId="28" xfId="0" applyFont="1" applyFill="1" applyBorder="1" applyAlignment="1">
      <alignment horizontal="center" vertical="center" wrapText="1"/>
    </xf>
    <xf numFmtId="0" fontId="29" fillId="5" borderId="29" xfId="0" applyFont="1" applyFill="1" applyBorder="1" applyAlignment="1">
      <alignment horizontal="center" vertical="center" wrapText="1"/>
    </xf>
    <xf numFmtId="0" fontId="29" fillId="5" borderId="3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/>
    <xf numFmtId="0" fontId="29" fillId="0" borderId="2" xfId="0" applyFont="1" applyFill="1" applyBorder="1" applyAlignment="1"/>
    <xf numFmtId="0" fontId="29" fillId="0" borderId="3" xfId="0" applyFont="1" applyFill="1" applyBorder="1" applyAlignment="1"/>
    <xf numFmtId="0" fontId="29" fillId="0" borderId="4" xfId="0" applyFont="1" applyFill="1" applyBorder="1" applyAlignment="1">
      <alignment wrapText="1"/>
    </xf>
    <xf numFmtId="0" fontId="29" fillId="0" borderId="0" xfId="0" applyFont="1" applyFill="1" applyBorder="1" applyAlignment="1">
      <alignment wrapText="1"/>
    </xf>
    <xf numFmtId="0" fontId="29" fillId="0" borderId="5" xfId="0" applyFont="1" applyFill="1" applyBorder="1" applyAlignment="1">
      <alignment wrapText="1"/>
    </xf>
    <xf numFmtId="0" fontId="29" fillId="0" borderId="4" xfId="0" applyFont="1" applyFill="1" applyBorder="1" applyAlignment="1"/>
    <xf numFmtId="0" fontId="29" fillId="0" borderId="0" xfId="0" applyFont="1" applyFill="1" applyBorder="1" applyAlignment="1"/>
    <xf numFmtId="0" fontId="29" fillId="0" borderId="5" xfId="0" applyFont="1" applyFill="1" applyBorder="1" applyAlignment="1"/>
    <xf numFmtId="0" fontId="0" fillId="0" borderId="0" xfId="0" applyBorder="1"/>
    <xf numFmtId="0" fontId="31" fillId="0" borderId="0" xfId="0" applyFont="1" applyBorder="1"/>
    <xf numFmtId="43" fontId="0" fillId="0" borderId="0" xfId="0" applyNumberFormat="1" applyBorder="1"/>
    <xf numFmtId="0" fontId="30" fillId="0" borderId="18" xfId="0" applyFont="1" applyBorder="1" applyAlignment="1">
      <alignment horizontal="left" vertical="center" wrapText="1" indent="1"/>
    </xf>
    <xf numFmtId="0" fontId="29" fillId="6" borderId="18" xfId="0" applyFont="1" applyFill="1" applyBorder="1" applyAlignment="1">
      <alignment horizontal="left" vertical="center" wrapText="1" indent="1"/>
    </xf>
    <xf numFmtId="0" fontId="29" fillId="6" borderId="20" xfId="0" applyFont="1" applyFill="1" applyBorder="1" applyAlignment="1">
      <alignment horizontal="left" vertical="center" wrapText="1" indent="1"/>
    </xf>
    <xf numFmtId="0" fontId="30" fillId="0" borderId="6" xfId="0" applyFont="1" applyBorder="1" applyAlignment="1">
      <alignment horizontal="left" vertical="center" wrapText="1" indent="1"/>
    </xf>
    <xf numFmtId="0" fontId="29" fillId="6" borderId="6" xfId="0" applyFont="1" applyFill="1" applyBorder="1" applyAlignment="1">
      <alignment horizontal="left" vertical="center" wrapText="1" indent="1"/>
    </xf>
    <xf numFmtId="0" fontId="29" fillId="6" borderId="21" xfId="0" applyFont="1" applyFill="1" applyBorder="1" applyAlignment="1">
      <alignment horizontal="left" vertical="center" wrapText="1" indent="1"/>
    </xf>
    <xf numFmtId="0" fontId="21" fillId="5" borderId="32" xfId="0" applyFont="1" applyFill="1" applyBorder="1" applyAlignment="1">
      <alignment horizontal="center" vertical="center"/>
    </xf>
    <xf numFmtId="0" fontId="21" fillId="5" borderId="33" xfId="0" applyFont="1" applyFill="1" applyBorder="1" applyAlignment="1">
      <alignment horizontal="center" vertical="center"/>
    </xf>
    <xf numFmtId="0" fontId="21" fillId="5" borderId="25" xfId="0" applyFont="1" applyFill="1" applyBorder="1" applyAlignment="1">
      <alignment horizontal="center" vertical="center"/>
    </xf>
    <xf numFmtId="0" fontId="21" fillId="5" borderId="16" xfId="0" applyFont="1" applyFill="1" applyBorder="1" applyAlignment="1">
      <alignment horizontal="center" vertical="center"/>
    </xf>
    <xf numFmtId="0" fontId="21" fillId="5" borderId="17" xfId="0" applyFont="1" applyFill="1" applyBorder="1" applyAlignment="1">
      <alignment horizontal="center" vertical="center"/>
    </xf>
  </cellXfs>
  <cellStyles count="26">
    <cellStyle name="Euro" xfId="7" xr:uid="{8C73F061-B70C-435F-BD8E-315A595DBB37}"/>
    <cellStyle name="Millares" xfId="1" builtinId="3"/>
    <cellStyle name="Millares 2" xfId="3" xr:uid="{00000000-0005-0000-0000-00002F000000}"/>
    <cellStyle name="Millares 2 2" xfId="10" xr:uid="{6465A2E7-0C38-4659-958E-3C1FDE3A49DB}"/>
    <cellStyle name="Millares 2 3" xfId="9" xr:uid="{B03B905B-B1AE-41F6-98F3-80652F806C95}"/>
    <cellStyle name="Millares 3" xfId="5" xr:uid="{89322889-0545-48A0-9123-5178BBC1B907}"/>
    <cellStyle name="Millares 3 2" xfId="11" xr:uid="{78228D11-9027-4536-908E-9DB6815A8C8E}"/>
    <cellStyle name="Millares 4" xfId="12" xr:uid="{2F2C330C-7ED3-4287-B687-8AA6231B5F6C}"/>
    <cellStyle name="Millares 5" xfId="8" xr:uid="{1299CFC6-558B-468E-8D96-FC1D433AABF7}"/>
    <cellStyle name="Moneda 2" xfId="4" xr:uid="{00000000-0005-0000-0000-000031000000}"/>
    <cellStyle name="Normal" xfId="0" builtinId="0"/>
    <cellStyle name="Normal 2" xfId="2" xr:uid="{00000000-0005-0000-0000-000032000000}"/>
    <cellStyle name="Normal 2 2" xfId="14" xr:uid="{41F9A05D-4A02-41D0-939A-DC97A3BEC25C}"/>
    <cellStyle name="Normal 2 3" xfId="15" xr:uid="{F6F53F0D-7F94-4C43-B784-3840F92F4C61}"/>
    <cellStyle name="Normal 2 4" xfId="13" xr:uid="{4B606934-6FE0-4874-A951-D2F1A959AC2D}"/>
    <cellStyle name="Normal 3" xfId="16" xr:uid="{348B1B06-BBED-4CE6-9940-B1D07628A667}"/>
    <cellStyle name="Normal 3 2" xfId="17" xr:uid="{854B3882-D06D-472F-8A35-5E68EC509099}"/>
    <cellStyle name="Normal 3 3" xfId="18" xr:uid="{551B3A18-D368-41AD-86D7-56A92F862965}"/>
    <cellStyle name="Normal 4" xfId="19" xr:uid="{FBDCD25E-3EEB-472C-8B4B-96DF7A442368}"/>
    <cellStyle name="Normal 4 2" xfId="20" xr:uid="{7240E715-E124-4271-9047-F886F9727641}"/>
    <cellStyle name="Normal 5" xfId="21" xr:uid="{2D0F0B72-6B94-4133-B619-B6B30C69CD2B}"/>
    <cellStyle name="Normal 5 2" xfId="22" xr:uid="{883201C7-15D5-47A3-95B2-7EAE67AFAEF3}"/>
    <cellStyle name="Normal 6" xfId="23" xr:uid="{41666EEC-86C9-45E1-A3F6-9CF20DA02E6C}"/>
    <cellStyle name="Normal 7" xfId="24" xr:uid="{6D643D27-F085-4BB4-835C-47280629E2C0}"/>
    <cellStyle name="Normal 8" xfId="6" xr:uid="{740081E6-4652-4948-9BDB-49E832C67005}"/>
    <cellStyle name="Porcentaje" xfId="2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6</xdr:row>
      <xdr:rowOff>0</xdr:rowOff>
    </xdr:from>
    <xdr:to>
      <xdr:col>3</xdr:col>
      <xdr:colOff>1114425</xdr:colOff>
      <xdr:row>6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8CFC3DBE-97D7-47C6-A0AA-600FFF6E8498}"/>
            </a:ext>
          </a:extLst>
        </xdr:cNvPr>
        <xdr:cNvSpPr>
          <a:spLocks noChangeShapeType="1"/>
        </xdr:cNvSpPr>
      </xdr:nvSpPr>
      <xdr:spPr bwMode="auto">
        <a:xfrm>
          <a:off x="7543800" y="2667000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171450</xdr:colOff>
      <xdr:row>6</xdr:row>
      <xdr:rowOff>0</xdr:rowOff>
    </xdr:from>
    <xdr:to>
      <xdr:col>3</xdr:col>
      <xdr:colOff>1114425</xdr:colOff>
      <xdr:row>6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4D962521-DAB3-4DC3-B1A9-26A98E7858AC}"/>
            </a:ext>
          </a:extLst>
        </xdr:cNvPr>
        <xdr:cNvSpPr>
          <a:spLocks noChangeShapeType="1"/>
        </xdr:cNvSpPr>
      </xdr:nvSpPr>
      <xdr:spPr bwMode="auto">
        <a:xfrm>
          <a:off x="7543800" y="2667000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674408</xdr:colOff>
      <xdr:row>1</xdr:row>
      <xdr:rowOff>118222</xdr:rowOff>
    </xdr:from>
    <xdr:to>
      <xdr:col>1</xdr:col>
      <xdr:colOff>1083983</xdr:colOff>
      <xdr:row>4</xdr:row>
      <xdr:rowOff>63462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B13FA5C-AA80-418F-B28E-DDCC9B98392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4408" y="192928"/>
          <a:ext cx="1843928" cy="613858"/>
        </a:xfrm>
        <a:prstGeom prst="rect">
          <a:avLst/>
        </a:prstGeom>
      </xdr:spPr>
    </xdr:pic>
    <xdr:clientData/>
  </xdr:twoCellAnchor>
  <xdr:twoCellAnchor editAs="oneCell">
    <xdr:from>
      <xdr:col>7</xdr:col>
      <xdr:colOff>702236</xdr:colOff>
      <xdr:row>1</xdr:row>
      <xdr:rowOff>18878</xdr:rowOff>
    </xdr:from>
    <xdr:to>
      <xdr:col>8</xdr:col>
      <xdr:colOff>701820</xdr:colOff>
      <xdr:row>4</xdr:row>
      <xdr:rowOff>91529</xdr:rowOff>
    </xdr:to>
    <xdr:pic>
      <xdr:nvPicPr>
        <xdr:cNvPr id="5" name="Imagen 4" descr="Logotipo&#10;&#10;Descripción generada automáticamente">
          <a:extLst>
            <a:ext uri="{FF2B5EF4-FFF2-40B4-BE49-F238E27FC236}">
              <a16:creationId xmlns:a16="http://schemas.microsoft.com/office/drawing/2014/main" id="{FA13B51D-EA4B-4968-BC6D-9AA4C4F4F20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06942" y="93584"/>
          <a:ext cx="1344289" cy="741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9AD85-AA71-4F43-A67F-72A4BDE196E9}">
  <sheetPr>
    <pageSetUpPr fitToPage="1"/>
  </sheetPr>
  <dimension ref="A1:Y94"/>
  <sheetViews>
    <sheetView zoomScale="85" zoomScaleNormal="85" zoomScaleSheetLayoutView="100" workbookViewId="0">
      <selection activeCell="O6" sqref="O6:V17"/>
    </sheetView>
  </sheetViews>
  <sheetFormatPr baseColWidth="10" defaultColWidth="11.5703125" defaultRowHeight="12" x14ac:dyDescent="0.2"/>
  <cols>
    <col min="1" max="1" width="20.5703125" style="12" customWidth="1"/>
    <col min="2" max="2" width="39.140625" style="5" customWidth="1"/>
    <col min="3" max="3" width="21" style="2" customWidth="1"/>
    <col min="4" max="4" width="19.5703125" style="2" customWidth="1"/>
    <col min="5" max="5" width="18.85546875" style="5" customWidth="1"/>
    <col min="6" max="6" width="16.28515625" style="5" customWidth="1"/>
    <col min="7" max="7" width="17.42578125" style="5" customWidth="1"/>
    <col min="8" max="8" width="19.28515625" style="5" customWidth="1"/>
    <col min="9" max="9" width="18.42578125" style="5" customWidth="1"/>
    <col min="10" max="14" width="11.5703125" style="5"/>
    <col min="15" max="15" width="28.7109375" style="5" customWidth="1"/>
    <col min="16" max="16" width="14.140625" style="5" customWidth="1"/>
    <col min="17" max="17" width="13.85546875" style="5" customWidth="1"/>
    <col min="18" max="18" width="10.7109375" style="5" customWidth="1"/>
    <col min="19" max="19" width="28.85546875" style="5" customWidth="1"/>
    <col min="20" max="21" width="13.5703125" style="5" customWidth="1"/>
    <col min="22" max="22" width="9.7109375" style="5" customWidth="1"/>
    <col min="23" max="23" width="20.85546875" style="5" customWidth="1"/>
    <col min="24" max="24" width="18" style="5" customWidth="1"/>
    <col min="25" max="16384" width="11.5703125" style="5"/>
  </cols>
  <sheetData>
    <row r="1" spans="1:25" s="14" customFormat="1" ht="15.75" x14ac:dyDescent="0.25">
      <c r="A1" s="167" t="s">
        <v>2</v>
      </c>
      <c r="B1" s="167"/>
      <c r="C1" s="167"/>
      <c r="D1" s="168"/>
      <c r="E1" s="168"/>
      <c r="F1" s="82"/>
      <c r="G1" s="82"/>
      <c r="H1" s="82"/>
      <c r="I1" s="82"/>
    </row>
    <row r="2" spans="1:25" s="14" customFormat="1" ht="16.5" thickBot="1" x14ac:dyDescent="0.3">
      <c r="A2" s="168"/>
      <c r="B2" s="168"/>
      <c r="C2" s="168"/>
      <c r="D2" s="168"/>
      <c r="E2" s="168"/>
      <c r="F2" s="82"/>
      <c r="G2" s="82"/>
      <c r="H2" s="82"/>
      <c r="I2" s="82"/>
    </row>
    <row r="3" spans="1:25" s="14" customFormat="1" ht="18" x14ac:dyDescent="0.25">
      <c r="A3" s="83"/>
      <c r="B3" s="163" t="s">
        <v>60</v>
      </c>
      <c r="C3" s="163"/>
      <c r="D3" s="163"/>
      <c r="E3" s="163"/>
      <c r="F3" s="163"/>
      <c r="G3" s="163"/>
      <c r="H3" s="163"/>
      <c r="I3" s="82"/>
      <c r="R3" s="199"/>
      <c r="S3" s="200"/>
      <c r="T3" s="200"/>
      <c r="U3" s="200"/>
      <c r="V3" s="200"/>
      <c r="W3" s="200"/>
      <c r="X3" s="200"/>
      <c r="Y3" s="201"/>
    </row>
    <row r="4" spans="1:25" s="14" customFormat="1" ht="18" customHeight="1" x14ac:dyDescent="0.25">
      <c r="A4" s="83"/>
      <c r="B4" s="163" t="s">
        <v>122</v>
      </c>
      <c r="C4" s="163"/>
      <c r="D4" s="163"/>
      <c r="E4" s="163"/>
      <c r="F4" s="163"/>
      <c r="G4" s="163"/>
      <c r="H4" s="163"/>
      <c r="I4" s="82"/>
      <c r="R4" s="202"/>
      <c r="S4" s="203"/>
      <c r="T4" s="203"/>
      <c r="U4" s="203"/>
      <c r="V4" s="203"/>
      <c r="W4" s="203"/>
      <c r="X4" s="203"/>
      <c r="Y4" s="204"/>
    </row>
    <row r="5" spans="1:25" s="14" customFormat="1" ht="15.75" thickBot="1" x14ac:dyDescent="0.3">
      <c r="A5" s="169" t="s">
        <v>62</v>
      </c>
      <c r="B5" s="169"/>
      <c r="C5" s="84"/>
      <c r="D5" s="84"/>
      <c r="E5" s="84"/>
      <c r="F5" s="82"/>
      <c r="G5" s="82"/>
      <c r="H5" s="82"/>
      <c r="I5" s="82"/>
      <c r="R5" s="205"/>
      <c r="S5" s="206"/>
      <c r="T5" s="206"/>
      <c r="U5" s="206"/>
      <c r="V5" s="206"/>
      <c r="W5" s="206"/>
      <c r="X5" s="206"/>
      <c r="Y5" s="207"/>
    </row>
    <row r="6" spans="1:25" s="14" customFormat="1" ht="15" customHeight="1" x14ac:dyDescent="0.25">
      <c r="A6" s="142"/>
      <c r="B6" s="143"/>
      <c r="C6" s="170" t="s">
        <v>120</v>
      </c>
      <c r="D6" s="171"/>
      <c r="E6" s="172"/>
      <c r="F6" s="164" t="s">
        <v>121</v>
      </c>
      <c r="G6" s="165"/>
      <c r="H6" s="165"/>
      <c r="I6" s="166"/>
      <c r="O6" s="177" t="s">
        <v>136</v>
      </c>
      <c r="P6" s="191"/>
      <c r="Q6" s="191"/>
      <c r="R6" s="191"/>
      <c r="S6" s="191"/>
      <c r="T6" s="191"/>
      <c r="U6" s="191"/>
      <c r="V6" s="192"/>
    </row>
    <row r="7" spans="1:25" ht="13.5" x14ac:dyDescent="0.25">
      <c r="A7" s="87"/>
      <c r="B7" s="25"/>
      <c r="C7" s="152" t="s">
        <v>6</v>
      </c>
      <c r="D7" s="153" t="s">
        <v>9</v>
      </c>
      <c r="E7" s="154" t="s">
        <v>6</v>
      </c>
      <c r="F7" s="156" t="s">
        <v>5</v>
      </c>
      <c r="G7" s="157" t="s">
        <v>6</v>
      </c>
      <c r="H7" s="158" t="s">
        <v>9</v>
      </c>
      <c r="I7" s="144" t="s">
        <v>6</v>
      </c>
      <c r="O7" s="193"/>
      <c r="P7" s="194"/>
      <c r="Q7" s="194"/>
      <c r="R7" s="194"/>
      <c r="S7" s="194"/>
      <c r="T7" s="194"/>
      <c r="U7" s="194"/>
      <c r="V7" s="195"/>
    </row>
    <row r="8" spans="1:25" ht="13.5" x14ac:dyDescent="0.25">
      <c r="A8" s="87" t="s">
        <v>4</v>
      </c>
      <c r="B8" s="25" t="s">
        <v>3</v>
      </c>
      <c r="C8" s="152" t="s">
        <v>0</v>
      </c>
      <c r="D8" s="155" t="s">
        <v>10</v>
      </c>
      <c r="E8" s="154" t="s">
        <v>11</v>
      </c>
      <c r="F8" s="156" t="s">
        <v>107</v>
      </c>
      <c r="G8" s="157" t="s">
        <v>0</v>
      </c>
      <c r="H8" s="159" t="s">
        <v>10</v>
      </c>
      <c r="I8" s="144" t="s">
        <v>11</v>
      </c>
      <c r="O8" s="193"/>
      <c r="P8" s="194"/>
      <c r="Q8" s="194"/>
      <c r="R8" s="194"/>
      <c r="S8" s="194"/>
      <c r="T8" s="194"/>
      <c r="U8" s="194"/>
      <c r="V8" s="195"/>
    </row>
    <row r="9" spans="1:25" ht="7.5" customHeight="1" x14ac:dyDescent="0.25">
      <c r="A9" s="87"/>
      <c r="B9" s="25"/>
      <c r="C9" s="108"/>
      <c r="D9" s="88"/>
      <c r="E9" s="129"/>
      <c r="F9" s="114"/>
      <c r="G9" s="88"/>
      <c r="H9" s="88"/>
      <c r="I9" s="115"/>
      <c r="O9" s="196"/>
      <c r="P9" s="197"/>
      <c r="Q9" s="197"/>
      <c r="R9" s="197"/>
      <c r="S9" s="197"/>
      <c r="T9" s="197"/>
      <c r="U9" s="197"/>
      <c r="V9" s="198"/>
    </row>
    <row r="10" spans="1:25" ht="27" x14ac:dyDescent="0.2">
      <c r="A10" s="89" t="s">
        <v>15</v>
      </c>
      <c r="B10" s="90" t="s">
        <v>16</v>
      </c>
      <c r="C10" s="109">
        <f>+C12+C20</f>
        <v>2231712158415.2397</v>
      </c>
      <c r="D10" s="91">
        <f t="shared" ref="D10:E10" si="0">+D12+D20</f>
        <v>3665322552.8600001</v>
      </c>
      <c r="E10" s="161">
        <f t="shared" si="0"/>
        <v>2228046835862.3799</v>
      </c>
      <c r="F10" s="116">
        <f>+F12+F20</f>
        <v>2617324167000</v>
      </c>
      <c r="G10" s="91">
        <f>+G12+G20</f>
        <v>944560189766.06995</v>
      </c>
      <c r="H10" s="91">
        <f t="shared" ref="H10" si="1">+H12+H20</f>
        <v>343574015</v>
      </c>
      <c r="I10" s="162">
        <f>+I12+I20</f>
        <v>944216615751.06995</v>
      </c>
      <c r="O10" s="190" t="s">
        <v>119</v>
      </c>
      <c r="P10" s="175"/>
      <c r="Q10" s="175"/>
      <c r="R10" s="176"/>
      <c r="S10" s="178" t="s">
        <v>117</v>
      </c>
      <c r="T10" s="178"/>
      <c r="U10" s="178"/>
      <c r="V10" s="182"/>
    </row>
    <row r="11" spans="1:25" ht="25.5" x14ac:dyDescent="0.2">
      <c r="A11" s="92"/>
      <c r="B11" s="93"/>
      <c r="C11" s="109"/>
      <c r="D11" s="91"/>
      <c r="E11" s="130"/>
      <c r="F11" s="116"/>
      <c r="G11" s="91"/>
      <c r="H11" s="91"/>
      <c r="I11" s="117"/>
      <c r="O11" s="183" t="s">
        <v>137</v>
      </c>
      <c r="P11" s="173" t="s">
        <v>123</v>
      </c>
      <c r="Q11" s="173" t="s">
        <v>134</v>
      </c>
      <c r="R11" s="173" t="s">
        <v>133</v>
      </c>
      <c r="S11" s="173" t="s">
        <v>137</v>
      </c>
      <c r="T11" s="173" t="s">
        <v>123</v>
      </c>
      <c r="U11" s="173" t="s">
        <v>134</v>
      </c>
      <c r="V11" s="174" t="s">
        <v>135</v>
      </c>
    </row>
    <row r="12" spans="1:25" ht="36.75" customHeight="1" x14ac:dyDescent="0.2">
      <c r="A12" s="89" t="s">
        <v>17</v>
      </c>
      <c r="B12" s="93" t="s">
        <v>8</v>
      </c>
      <c r="C12" s="110">
        <f>+C14</f>
        <v>1698423158442.7</v>
      </c>
      <c r="D12" s="94">
        <f t="shared" ref="D12:E12" si="2">+D14</f>
        <v>3663009355</v>
      </c>
      <c r="E12" s="131">
        <f t="shared" si="2"/>
        <v>1694760149087.7</v>
      </c>
      <c r="F12" s="118">
        <f>+F14</f>
        <v>2446632387000</v>
      </c>
      <c r="G12" s="94">
        <f>+G14</f>
        <v>754457068296.45996</v>
      </c>
      <c r="H12" s="94">
        <f t="shared" ref="H12:I12" si="3">+H14</f>
        <v>343574015</v>
      </c>
      <c r="I12" s="119">
        <f t="shared" si="3"/>
        <v>754113494281.45996</v>
      </c>
      <c r="O12" s="211" t="s">
        <v>124</v>
      </c>
      <c r="P12" s="145">
        <v>1693458.8176300002</v>
      </c>
      <c r="Q12" s="145">
        <v>1693824.609034</v>
      </c>
      <c r="R12" s="179">
        <v>0.99978404410819821</v>
      </c>
      <c r="S12" s="214" t="s">
        <v>124</v>
      </c>
      <c r="T12" s="145">
        <v>751073.74250298995</v>
      </c>
      <c r="U12" s="145">
        <v>2446632.3870000001</v>
      </c>
      <c r="V12" s="146">
        <v>0.30698266993184781</v>
      </c>
    </row>
    <row r="13" spans="1:25" ht="24" customHeight="1" x14ac:dyDescent="0.2">
      <c r="A13" s="89"/>
      <c r="B13" s="93"/>
      <c r="C13" s="110"/>
      <c r="D13" s="94"/>
      <c r="E13" s="131"/>
      <c r="F13" s="118"/>
      <c r="G13" s="94"/>
      <c r="H13" s="94"/>
      <c r="I13" s="119"/>
      <c r="O13" s="211" t="s">
        <v>125</v>
      </c>
      <c r="P13" s="145">
        <v>4964.3408127000012</v>
      </c>
      <c r="Q13" s="145"/>
      <c r="R13" s="179"/>
      <c r="S13" s="214" t="s">
        <v>125</v>
      </c>
      <c r="T13" s="145">
        <v>3383.3257934700005</v>
      </c>
      <c r="U13" s="145"/>
      <c r="V13" s="146"/>
    </row>
    <row r="14" spans="1:25" ht="21" customHeight="1" x14ac:dyDescent="0.2">
      <c r="A14" s="89" t="s">
        <v>46</v>
      </c>
      <c r="B14" s="93" t="s">
        <v>47</v>
      </c>
      <c r="C14" s="110">
        <f>SUM(C15:C18)</f>
        <v>1698423158442.7</v>
      </c>
      <c r="D14" s="94">
        <f t="shared" ref="D14:E14" si="4">SUM(D15:D18)</f>
        <v>3663009355</v>
      </c>
      <c r="E14" s="131">
        <f t="shared" si="4"/>
        <v>1694760149087.7</v>
      </c>
      <c r="F14" s="118">
        <f>SUM(F15:F16)</f>
        <v>2446632387000</v>
      </c>
      <c r="G14" s="94">
        <f>SUM(G15:G18)</f>
        <v>754457068296.45996</v>
      </c>
      <c r="H14" s="94">
        <f t="shared" ref="H14:I14" si="5">SUM(H15:H18)</f>
        <v>343574015</v>
      </c>
      <c r="I14" s="119">
        <f t="shared" si="5"/>
        <v>754113494281.45996</v>
      </c>
      <c r="O14" s="212" t="s">
        <v>126</v>
      </c>
      <c r="P14" s="184">
        <v>1698423.1584427003</v>
      </c>
      <c r="Q14" s="184">
        <v>1693824.609034</v>
      </c>
      <c r="R14" s="185">
        <v>1.002714891131097</v>
      </c>
      <c r="S14" s="215" t="s">
        <v>126</v>
      </c>
      <c r="T14" s="184">
        <v>754457.06829645997</v>
      </c>
      <c r="U14" s="184">
        <v>2446632.3870000001</v>
      </c>
      <c r="V14" s="186">
        <v>0.30836552001241041</v>
      </c>
    </row>
    <row r="15" spans="1:25" ht="19.5" customHeight="1" x14ac:dyDescent="0.2">
      <c r="A15" s="89" t="s">
        <v>23</v>
      </c>
      <c r="B15" s="95" t="s">
        <v>106</v>
      </c>
      <c r="C15" s="111">
        <f>1630315333703+42363126631</f>
        <v>1672678460334</v>
      </c>
      <c r="D15" s="97">
        <v>3635403355</v>
      </c>
      <c r="E15" s="132">
        <f>+C15-D15</f>
        <v>1669043056979</v>
      </c>
      <c r="F15" s="120">
        <v>2443453814000</v>
      </c>
      <c r="G15" s="96">
        <v>745371769281.98999</v>
      </c>
      <c r="H15" s="97">
        <v>338842000</v>
      </c>
      <c r="I15" s="121">
        <f>+G15-H15</f>
        <v>745032927281.98999</v>
      </c>
      <c r="O15" s="211" t="s">
        <v>127</v>
      </c>
      <c r="P15" s="145">
        <v>533288.99997260002</v>
      </c>
      <c r="Q15" s="145">
        <v>468804.03700000001</v>
      </c>
      <c r="R15" s="179">
        <v>1.1375520641529799</v>
      </c>
      <c r="S15" s="214" t="s">
        <v>127</v>
      </c>
      <c r="T15" s="145">
        <v>190103.12146960999</v>
      </c>
      <c r="U15" s="145">
        <v>170691.78</v>
      </c>
      <c r="V15" s="146">
        <v>1.1137215949684864</v>
      </c>
    </row>
    <row r="16" spans="1:25" ht="21.75" customHeight="1" x14ac:dyDescent="0.2">
      <c r="A16" s="89" t="s">
        <v>28</v>
      </c>
      <c r="B16" s="95" t="s">
        <v>29</v>
      </c>
      <c r="C16" s="111">
        <f>24481583572.04+1246827512</f>
        <v>25728411084.040001</v>
      </c>
      <c r="D16" s="97">
        <v>27606000</v>
      </c>
      <c r="E16" s="132">
        <f t="shared" ref="E16:E18" si="6">+C16-D16</f>
        <v>25700805084.040001</v>
      </c>
      <c r="F16" s="120">
        <v>3178573000</v>
      </c>
      <c r="G16" s="96">
        <v>9084142479.8799992</v>
      </c>
      <c r="H16" s="97">
        <v>4732015</v>
      </c>
      <c r="I16" s="121">
        <f t="shared" ref="I16:I18" si="7">+G16-H16</f>
        <v>9079410464.8799992</v>
      </c>
      <c r="O16" s="211" t="s">
        <v>138</v>
      </c>
      <c r="P16" s="147">
        <v>3665.3225528600001</v>
      </c>
      <c r="Q16" s="147"/>
      <c r="R16" s="180"/>
      <c r="S16" s="214" t="s">
        <v>128</v>
      </c>
      <c r="T16" s="147">
        <v>343.57401499999997</v>
      </c>
      <c r="U16" s="147"/>
      <c r="V16" s="148"/>
    </row>
    <row r="17" spans="1:25" ht="27.75" customHeight="1" thickBot="1" x14ac:dyDescent="0.25">
      <c r="A17" s="89" t="s">
        <v>48</v>
      </c>
      <c r="B17" s="95" t="s">
        <v>49</v>
      </c>
      <c r="C17" s="111">
        <f>4799846.8+1014100.86</f>
        <v>5813947.6600000001</v>
      </c>
      <c r="D17" s="94"/>
      <c r="E17" s="132">
        <f t="shared" si="6"/>
        <v>5813947.6600000001</v>
      </c>
      <c r="F17" s="120"/>
      <c r="G17" s="96">
        <v>1156534.5900000001</v>
      </c>
      <c r="H17" s="94"/>
      <c r="I17" s="121">
        <f t="shared" si="7"/>
        <v>1156534.5900000001</v>
      </c>
      <c r="O17" s="213" t="s">
        <v>129</v>
      </c>
      <c r="P17" s="187">
        <v>2228046.8358624405</v>
      </c>
      <c r="Q17" s="187">
        <v>2162628.646034</v>
      </c>
      <c r="R17" s="188">
        <v>1.0302493865270903</v>
      </c>
      <c r="S17" s="216" t="s">
        <v>129</v>
      </c>
      <c r="T17" s="187">
        <v>944216.61575106997</v>
      </c>
      <c r="U17" s="187">
        <v>2617324.1669999999</v>
      </c>
      <c r="V17" s="189">
        <v>0.36075646557504543</v>
      </c>
    </row>
    <row r="18" spans="1:25" ht="12" customHeight="1" x14ac:dyDescent="0.2">
      <c r="A18" s="89" t="s">
        <v>113</v>
      </c>
      <c r="B18" s="95" t="s">
        <v>114</v>
      </c>
      <c r="C18" s="111">
        <v>10473077</v>
      </c>
      <c r="D18" s="98"/>
      <c r="E18" s="132">
        <f t="shared" si="6"/>
        <v>10473077</v>
      </c>
      <c r="F18" s="136"/>
      <c r="G18" s="96"/>
      <c r="H18" s="98"/>
      <c r="I18" s="121">
        <f t="shared" si="7"/>
        <v>0</v>
      </c>
      <c r="O18" s="181" t="s">
        <v>132</v>
      </c>
      <c r="P18" s="181"/>
      <c r="Q18" s="181"/>
      <c r="R18" s="181"/>
      <c r="S18" s="181" t="s">
        <v>130</v>
      </c>
      <c r="T18" s="181"/>
      <c r="U18" s="181"/>
      <c r="V18" s="181"/>
    </row>
    <row r="19" spans="1:25" ht="15" x14ac:dyDescent="0.25">
      <c r="A19" s="89"/>
      <c r="B19" s="99"/>
      <c r="C19" s="112"/>
      <c r="D19" s="98"/>
      <c r="E19" s="133"/>
      <c r="F19" s="122"/>
      <c r="G19" s="100"/>
      <c r="H19" s="98"/>
      <c r="I19" s="123"/>
      <c r="O19" s="181"/>
      <c r="P19" s="181"/>
      <c r="Q19" s="181"/>
      <c r="R19" s="181"/>
      <c r="S19" s="181"/>
      <c r="T19" s="181"/>
      <c r="U19" s="181"/>
      <c r="V19" s="181"/>
    </row>
    <row r="20" spans="1:25" ht="11.45" customHeight="1" x14ac:dyDescent="0.2">
      <c r="A20" s="89" t="s">
        <v>18</v>
      </c>
      <c r="B20" s="93" t="s">
        <v>1</v>
      </c>
      <c r="C20" s="110">
        <f>SUM(C22:C24)</f>
        <v>533288999972.53998</v>
      </c>
      <c r="D20" s="94">
        <f t="shared" ref="D20" si="8">SUM(D22:D24)</f>
        <v>2313197.8600000003</v>
      </c>
      <c r="E20" s="131">
        <f>SUM(E22:E24)</f>
        <v>533286686774.67999</v>
      </c>
      <c r="F20" s="118">
        <f>SUM(F22:F24)</f>
        <v>170691780000</v>
      </c>
      <c r="G20" s="94">
        <f>SUM(G22:G24)</f>
        <v>190103121469.60999</v>
      </c>
      <c r="H20" s="94">
        <f t="shared" ref="H20" si="9">SUM(H22:H24)</f>
        <v>0</v>
      </c>
      <c r="I20" s="119">
        <f>SUM(I22:I24)</f>
        <v>190103121469.60999</v>
      </c>
      <c r="O20" s="181"/>
      <c r="P20" s="181"/>
      <c r="Q20" s="181"/>
      <c r="R20" s="181"/>
      <c r="S20" s="181"/>
      <c r="T20" s="181"/>
      <c r="U20" s="181"/>
      <c r="V20" s="181"/>
    </row>
    <row r="21" spans="1:25" ht="12.95" customHeight="1" x14ac:dyDescent="0.2">
      <c r="A21" s="101"/>
      <c r="B21" s="94"/>
      <c r="C21" s="113"/>
      <c r="D21" s="102"/>
      <c r="E21" s="134">
        <v>0</v>
      </c>
      <c r="F21" s="124"/>
      <c r="G21" s="102"/>
      <c r="H21" s="102"/>
      <c r="I21" s="125">
        <v>0</v>
      </c>
      <c r="O21" s="208"/>
      <c r="P21" s="208"/>
      <c r="Q21" s="208"/>
      <c r="R21" s="208"/>
      <c r="S21" s="208"/>
      <c r="T21" s="208"/>
      <c r="U21" s="208"/>
      <c r="V21" s="208"/>
    </row>
    <row r="22" spans="1:25" ht="12.6" customHeight="1" x14ac:dyDescent="0.2">
      <c r="A22" s="103" t="s">
        <v>103</v>
      </c>
      <c r="B22" s="95" t="s">
        <v>36</v>
      </c>
      <c r="C22" s="113">
        <v>441931330000</v>
      </c>
      <c r="D22" s="102"/>
      <c r="E22" s="132">
        <f t="shared" ref="E22:E24" si="10">+C22-D22</f>
        <v>441931330000</v>
      </c>
      <c r="F22" s="124">
        <v>153819120000</v>
      </c>
      <c r="G22" s="102">
        <v>153819120000</v>
      </c>
      <c r="H22" s="102"/>
      <c r="I22" s="121">
        <f t="shared" ref="I22:I24" si="11">+G22-H22</f>
        <v>153819120000</v>
      </c>
      <c r="O22" s="209" t="s">
        <v>131</v>
      </c>
      <c r="P22" s="208"/>
      <c r="Q22" s="210"/>
      <c r="R22" s="208"/>
      <c r="S22" s="209"/>
      <c r="T22" s="208"/>
      <c r="U22" s="210"/>
      <c r="V22" s="208"/>
    </row>
    <row r="23" spans="1:25" ht="12.75" x14ac:dyDescent="0.2">
      <c r="A23" s="103" t="s">
        <v>105</v>
      </c>
      <c r="B23" s="95" t="s">
        <v>104</v>
      </c>
      <c r="C23" s="113">
        <f>53882817497.46+6853127214.76</f>
        <v>60735944712.220001</v>
      </c>
      <c r="D23" s="102">
        <v>547848</v>
      </c>
      <c r="E23" s="132">
        <f t="shared" si="10"/>
        <v>60735396864.220001</v>
      </c>
      <c r="F23" s="124">
        <v>2638495000</v>
      </c>
      <c r="G23" s="102">
        <v>24713615932.27</v>
      </c>
      <c r="H23" s="102"/>
      <c r="I23" s="121">
        <f t="shared" si="11"/>
        <v>24713615932.27</v>
      </c>
      <c r="O23" s="149"/>
      <c r="P23"/>
      <c r="Q23"/>
      <c r="R23"/>
      <c r="S23" s="149"/>
      <c r="T23"/>
      <c r="U23" s="150"/>
      <c r="V23"/>
    </row>
    <row r="24" spans="1:25" ht="12.75" x14ac:dyDescent="0.2">
      <c r="A24" s="89" t="s">
        <v>21</v>
      </c>
      <c r="B24" s="95" t="s">
        <v>42</v>
      </c>
      <c r="C24" s="140">
        <f>27965343840.89+2656381419.43</f>
        <v>30621725260.32</v>
      </c>
      <c r="D24" s="102">
        <v>1765349.86</v>
      </c>
      <c r="E24" s="132">
        <f t="shared" si="10"/>
        <v>30619959910.459999</v>
      </c>
      <c r="F24" s="124">
        <v>14234165000</v>
      </c>
      <c r="G24" s="104">
        <v>11570385537.34</v>
      </c>
      <c r="H24" s="102"/>
      <c r="I24" s="121">
        <f t="shared" si="11"/>
        <v>11570385537.34</v>
      </c>
      <c r="O24" s="149"/>
      <c r="P24" s="151"/>
      <c r="Q24" s="151"/>
      <c r="R24"/>
      <c r="S24" s="149"/>
      <c r="T24"/>
      <c r="U24" s="150"/>
      <c r="V24"/>
    </row>
    <row r="25" spans="1:25" x14ac:dyDescent="0.2">
      <c r="A25" s="89"/>
      <c r="B25" s="95"/>
      <c r="C25" s="140"/>
      <c r="D25" s="102"/>
      <c r="E25" s="134"/>
      <c r="F25" s="124"/>
      <c r="G25" s="104"/>
      <c r="H25" s="102"/>
      <c r="I25" s="125"/>
      <c r="V25" s="149"/>
    </row>
    <row r="26" spans="1:25" ht="12.75" thickBot="1" x14ac:dyDescent="0.25">
      <c r="A26" s="101"/>
      <c r="B26" s="105" t="s">
        <v>7</v>
      </c>
      <c r="C26" s="141">
        <f>+C20+C12</f>
        <v>2231712158415.2397</v>
      </c>
      <c r="D26" s="127">
        <f t="shared" ref="D26:E26" si="12">+D20+D12</f>
        <v>3665322552.8600001</v>
      </c>
      <c r="E26" s="135">
        <f t="shared" si="12"/>
        <v>2228046835862.3799</v>
      </c>
      <c r="F26" s="126">
        <f>+F20+F12</f>
        <v>2617324167000</v>
      </c>
      <c r="G26" s="127">
        <f>+G20+G12</f>
        <v>944560189766.06995</v>
      </c>
      <c r="H26" s="127">
        <f t="shared" ref="H26:I26" si="13">+H20+H12</f>
        <v>343574015</v>
      </c>
      <c r="I26" s="128">
        <f t="shared" si="13"/>
        <v>944216615751.06995</v>
      </c>
      <c r="V26" s="149"/>
    </row>
    <row r="27" spans="1:25" ht="12.75" x14ac:dyDescent="0.2">
      <c r="A27" s="10" t="s">
        <v>12</v>
      </c>
      <c r="B27" s="8"/>
      <c r="C27" s="3"/>
      <c r="D27" s="5"/>
      <c r="F27" s="106"/>
      <c r="G27" s="85"/>
      <c r="H27" s="86"/>
      <c r="I27" s="86"/>
      <c r="W27" s="151"/>
      <c r="X27" s="151"/>
      <c r="Y27"/>
    </row>
    <row r="28" spans="1:25" ht="12.75" x14ac:dyDescent="0.2">
      <c r="A28" s="10" t="s">
        <v>61</v>
      </c>
      <c r="B28" s="8"/>
      <c r="C28" s="3"/>
      <c r="D28" s="5"/>
      <c r="E28" s="3"/>
      <c r="F28" s="85"/>
      <c r="G28" s="85"/>
      <c r="H28" s="86"/>
      <c r="I28" s="86"/>
      <c r="W28" s="151"/>
      <c r="X28" s="151"/>
      <c r="Y28"/>
    </row>
    <row r="29" spans="1:25" x14ac:dyDescent="0.2">
      <c r="A29" s="10"/>
      <c r="B29" s="8"/>
      <c r="C29" s="3"/>
      <c r="D29" s="5"/>
      <c r="E29" s="2"/>
      <c r="F29" s="85"/>
      <c r="G29" s="85"/>
      <c r="H29" s="86"/>
      <c r="I29" s="86"/>
    </row>
    <row r="30" spans="1:25" ht="12.75" x14ac:dyDescent="0.2">
      <c r="A30" s="10"/>
      <c r="B30" s="8"/>
      <c r="C30" s="79"/>
      <c r="D30" s="5"/>
      <c r="F30" s="85"/>
      <c r="G30" s="107"/>
      <c r="H30" s="86"/>
      <c r="I30" s="86"/>
    </row>
    <row r="31" spans="1:25" x14ac:dyDescent="0.2">
      <c r="A31" s="10"/>
      <c r="B31" s="3" t="s">
        <v>13</v>
      </c>
      <c r="C31" s="3"/>
      <c r="D31" s="5"/>
      <c r="F31" s="3"/>
      <c r="G31" s="3"/>
    </row>
    <row r="32" spans="1:25" x14ac:dyDescent="0.2">
      <c r="A32" s="10"/>
      <c r="B32" s="3"/>
      <c r="C32" s="3"/>
      <c r="D32" s="5"/>
      <c r="E32" s="2"/>
      <c r="F32" s="3"/>
      <c r="G32" s="3"/>
      <c r="I32" s="2"/>
    </row>
    <row r="33" spans="1:9" x14ac:dyDescent="0.2">
      <c r="A33" s="15" t="s">
        <v>17</v>
      </c>
      <c r="B33" s="9" t="s">
        <v>8</v>
      </c>
      <c r="E33" s="3">
        <f>+E35-E42+E48+E58+E62</f>
        <v>1694760149087.7</v>
      </c>
      <c r="F33" s="2"/>
      <c r="G33" s="2"/>
      <c r="H33" s="2"/>
      <c r="I33" s="3">
        <f>+I35-I42+I48+I58</f>
        <v>754113494281.45996</v>
      </c>
    </row>
    <row r="34" spans="1:9" x14ac:dyDescent="0.2">
      <c r="A34" s="10" t="s">
        <v>2</v>
      </c>
      <c r="B34" s="2"/>
      <c r="D34" s="5"/>
      <c r="E34" s="3"/>
      <c r="F34" s="8"/>
      <c r="G34" s="2"/>
      <c r="I34" s="3"/>
    </row>
    <row r="35" spans="1:9" x14ac:dyDescent="0.2">
      <c r="A35" s="17" t="s">
        <v>23</v>
      </c>
      <c r="B35" s="72" t="s">
        <v>22</v>
      </c>
      <c r="D35" s="5"/>
      <c r="E35" s="3">
        <f>SUM(E36:E40)</f>
        <v>1672678460334</v>
      </c>
      <c r="F35" s="3"/>
      <c r="G35" s="2"/>
      <c r="I35" s="3">
        <f>SUM(I36:I40)</f>
        <v>745371769281.98999</v>
      </c>
    </row>
    <row r="36" spans="1:9" ht="15" x14ac:dyDescent="0.25">
      <c r="A36" s="18" t="s">
        <v>24</v>
      </c>
      <c r="B36" s="2" t="s">
        <v>27</v>
      </c>
      <c r="D36" s="5"/>
      <c r="E36" s="73">
        <f>860615718955.31+31001751091</f>
        <v>891617470046.31006</v>
      </c>
      <c r="F36" s="2"/>
      <c r="G36" s="2"/>
      <c r="I36" s="73">
        <f>53681603688+26464691792+473232011090</f>
        <v>553378306570</v>
      </c>
    </row>
    <row r="37" spans="1:9" x14ac:dyDescent="0.2">
      <c r="A37" s="18"/>
      <c r="B37" s="2" t="s">
        <v>43</v>
      </c>
      <c r="D37" s="5"/>
      <c r="E37" s="7">
        <f>68999205+10132214</f>
        <v>79131419</v>
      </c>
      <c r="F37" s="2"/>
      <c r="G37" s="2"/>
      <c r="I37" s="7">
        <f>5472025.99+6051886+3894093</f>
        <v>15418004.99</v>
      </c>
    </row>
    <row r="38" spans="1:9" x14ac:dyDescent="0.2">
      <c r="A38" s="18" t="s">
        <v>58</v>
      </c>
      <c r="B38" s="2" t="s">
        <v>59</v>
      </c>
      <c r="D38" s="5"/>
      <c r="E38" s="16">
        <f>95578105523+20926000</f>
        <v>95599031523</v>
      </c>
      <c r="F38" s="2"/>
      <c r="G38" s="2"/>
      <c r="I38" s="16">
        <f>20687456000+68437862+37226000</f>
        <v>20793119862</v>
      </c>
    </row>
    <row r="39" spans="1:9" x14ac:dyDescent="0.2">
      <c r="A39" s="18" t="s">
        <v>25</v>
      </c>
      <c r="B39" s="2" t="s">
        <v>108</v>
      </c>
      <c r="D39" s="5"/>
      <c r="E39" s="7">
        <f>525299843444.69+732724949</f>
        <v>526032568393.69</v>
      </c>
      <c r="F39" s="2"/>
      <c r="G39" s="2"/>
      <c r="I39" s="7">
        <f>132860979428+1092149408+2154531654</f>
        <v>136107660490</v>
      </c>
    </row>
    <row r="40" spans="1:9" x14ac:dyDescent="0.2">
      <c r="A40" s="18" t="s">
        <v>101</v>
      </c>
      <c r="B40" s="2" t="s">
        <v>102</v>
      </c>
      <c r="D40" s="5"/>
      <c r="E40" s="7">
        <f>148752666575+10597592377</f>
        <v>159350258952</v>
      </c>
      <c r="F40" s="2"/>
      <c r="G40" s="2"/>
      <c r="I40" s="7">
        <f>10159856061+12378220017+12539188277</f>
        <v>35077264355</v>
      </c>
    </row>
    <row r="41" spans="1:9" x14ac:dyDescent="0.2">
      <c r="A41" s="18"/>
      <c r="B41" s="2"/>
      <c r="D41" s="5"/>
      <c r="E41" s="2"/>
      <c r="F41" s="2"/>
      <c r="G41" s="2"/>
      <c r="I41" s="2"/>
    </row>
    <row r="42" spans="1:9" x14ac:dyDescent="0.2">
      <c r="A42" s="17" t="s">
        <v>2</v>
      </c>
      <c r="B42" s="3" t="s">
        <v>55</v>
      </c>
      <c r="D42" s="5"/>
      <c r="E42" s="19">
        <f>SUM(E43:E47)</f>
        <v>3663009355</v>
      </c>
      <c r="F42" s="2"/>
      <c r="G42" s="2"/>
      <c r="I42" s="19">
        <f>SUM(I43:I43)</f>
        <v>343574015</v>
      </c>
    </row>
    <row r="43" spans="1:9" x14ac:dyDescent="0.2">
      <c r="A43" s="18" t="s">
        <v>24</v>
      </c>
      <c r="B43" s="2" t="s">
        <v>27</v>
      </c>
      <c r="D43" s="5"/>
      <c r="E43" s="16">
        <v>620140000</v>
      </c>
      <c r="F43" s="2"/>
      <c r="G43" s="2"/>
      <c r="I43" s="16">
        <f>305914000+30026000+7634015</f>
        <v>343574015</v>
      </c>
    </row>
    <row r="44" spans="1:9" x14ac:dyDescent="0.2">
      <c r="A44" s="18" t="s">
        <v>58</v>
      </c>
      <c r="B44" s="2" t="s">
        <v>59</v>
      </c>
      <c r="D44" s="5"/>
      <c r="E44" s="16">
        <v>3015263355</v>
      </c>
      <c r="F44" s="2"/>
      <c r="G44" s="2"/>
      <c r="I44" s="16"/>
    </row>
    <row r="45" spans="1:9" x14ac:dyDescent="0.2">
      <c r="A45" s="18" t="s">
        <v>25</v>
      </c>
      <c r="B45" s="2" t="s">
        <v>108</v>
      </c>
      <c r="D45" s="5"/>
      <c r="E45" s="16"/>
      <c r="F45" s="2"/>
      <c r="G45" s="2"/>
      <c r="I45" s="16"/>
    </row>
    <row r="46" spans="1:9" x14ac:dyDescent="0.2">
      <c r="A46" s="18" t="s">
        <v>30</v>
      </c>
      <c r="B46" s="74" t="s">
        <v>39</v>
      </c>
      <c r="D46" s="5"/>
      <c r="E46" s="16">
        <v>27606000</v>
      </c>
      <c r="F46" s="2"/>
      <c r="G46" s="2"/>
      <c r="I46" s="16"/>
    </row>
    <row r="47" spans="1:9" x14ac:dyDescent="0.2">
      <c r="A47" s="18"/>
      <c r="B47" s="74"/>
      <c r="D47" s="5"/>
      <c r="E47" s="16"/>
      <c r="F47" s="2"/>
      <c r="G47" s="2"/>
      <c r="I47" s="16"/>
    </row>
    <row r="48" spans="1:9" x14ac:dyDescent="0.2">
      <c r="A48" s="17" t="s">
        <v>28</v>
      </c>
      <c r="B48" s="72" t="s">
        <v>29</v>
      </c>
      <c r="D48" s="5"/>
      <c r="E48" s="19">
        <f>+E49+E50+E53+E55</f>
        <v>25728411084.040001</v>
      </c>
      <c r="F48" s="2"/>
      <c r="G48" s="2"/>
      <c r="I48" s="19">
        <f>+I49+I50+I53+I55+I54</f>
        <v>9084142479.8800011</v>
      </c>
    </row>
    <row r="49" spans="1:9" x14ac:dyDescent="0.2">
      <c r="A49" s="18" t="s">
        <v>31</v>
      </c>
      <c r="B49" s="74" t="s">
        <v>38</v>
      </c>
      <c r="D49" s="5"/>
      <c r="E49" s="16">
        <v>4918753362.04</v>
      </c>
      <c r="F49" s="2"/>
      <c r="G49" s="2"/>
      <c r="I49" s="16">
        <v>1536960</v>
      </c>
    </row>
    <row r="50" spans="1:9" x14ac:dyDescent="0.2">
      <c r="A50" s="18" t="s">
        <v>30</v>
      </c>
      <c r="B50" s="74" t="s">
        <v>39</v>
      </c>
      <c r="D50" s="5"/>
      <c r="E50" s="16">
        <f>+E51+E52</f>
        <v>10467401277</v>
      </c>
      <c r="F50" s="2"/>
      <c r="G50" s="2"/>
      <c r="I50" s="16">
        <f>+I51+I52</f>
        <v>3361748516.1300001</v>
      </c>
    </row>
    <row r="51" spans="1:9" x14ac:dyDescent="0.2">
      <c r="A51" s="18"/>
      <c r="B51" s="74" t="s">
        <v>44</v>
      </c>
      <c r="D51" s="5"/>
      <c r="E51" s="16">
        <f>10190612796+234481647</f>
        <v>10425094443</v>
      </c>
      <c r="F51" s="2"/>
      <c r="G51" s="2"/>
      <c r="I51" s="16">
        <f>160965173+2007025202.13+1193733141</f>
        <v>3361723516.1300001</v>
      </c>
    </row>
    <row r="52" spans="1:9" x14ac:dyDescent="0.2">
      <c r="A52" s="18" t="s">
        <v>2</v>
      </c>
      <c r="B52" s="74" t="s">
        <v>45</v>
      </c>
      <c r="D52" s="5"/>
      <c r="E52" s="16">
        <f>38684000+3622834</f>
        <v>42306834</v>
      </c>
      <c r="F52" s="2"/>
      <c r="G52" s="2"/>
      <c r="I52" s="16">
        <v>25000</v>
      </c>
    </row>
    <row r="53" spans="1:9" x14ac:dyDescent="0.2">
      <c r="A53" s="18" t="s">
        <v>98</v>
      </c>
      <c r="B53" s="74" t="s">
        <v>40</v>
      </c>
      <c r="D53" s="5"/>
      <c r="E53" s="16">
        <f>9304232988+1008723031</f>
        <v>10312956019</v>
      </c>
      <c r="F53" s="2"/>
      <c r="G53" s="2"/>
      <c r="I53" s="16">
        <f>2174324142+556396386+2971252693</f>
        <v>5701973221</v>
      </c>
    </row>
    <row r="54" spans="1:9" x14ac:dyDescent="0.2">
      <c r="A54" s="18"/>
      <c r="B54" s="74"/>
      <c r="D54" s="5"/>
      <c r="E54" s="16"/>
      <c r="F54" s="2"/>
      <c r="G54" s="2"/>
      <c r="I54" s="16">
        <v>18883782.75</v>
      </c>
    </row>
    <row r="55" spans="1:9" x14ac:dyDescent="0.2">
      <c r="A55" s="18" t="s">
        <v>109</v>
      </c>
      <c r="B55" s="74" t="s">
        <v>110</v>
      </c>
      <c r="D55" s="5"/>
      <c r="E55" s="16">
        <v>29300426</v>
      </c>
      <c r="F55" s="2"/>
      <c r="G55" s="2"/>
      <c r="I55" s="16"/>
    </row>
    <row r="56" spans="1:9" x14ac:dyDescent="0.2">
      <c r="A56" s="21"/>
      <c r="B56" s="74"/>
      <c r="D56" s="5"/>
      <c r="E56" s="16"/>
      <c r="F56" s="2"/>
      <c r="G56" s="2"/>
      <c r="I56" s="16"/>
    </row>
    <row r="57" spans="1:9" x14ac:dyDescent="0.2">
      <c r="A57" s="18"/>
      <c r="B57" s="72" t="s">
        <v>2</v>
      </c>
      <c r="D57" s="5"/>
      <c r="E57" s="137" t="s">
        <v>2</v>
      </c>
      <c r="F57" s="2"/>
      <c r="G57" s="2"/>
      <c r="I57" s="137" t="s">
        <v>2</v>
      </c>
    </row>
    <row r="58" spans="1:9" x14ac:dyDescent="0.2">
      <c r="A58" s="17" t="s">
        <v>33</v>
      </c>
      <c r="B58" s="72" t="s">
        <v>34</v>
      </c>
      <c r="D58" s="5"/>
      <c r="E58" s="3">
        <f>SUM(E59:E60)</f>
        <v>5813947.6600000001</v>
      </c>
      <c r="F58" s="2"/>
      <c r="G58" s="2"/>
      <c r="I58" s="3">
        <f>SUM(I59:I60)</f>
        <v>1156534.5900000001</v>
      </c>
    </row>
    <row r="59" spans="1:9" x14ac:dyDescent="0.2">
      <c r="A59" s="18" t="s">
        <v>50</v>
      </c>
      <c r="B59" s="74" t="s">
        <v>51</v>
      </c>
      <c r="D59" s="5"/>
      <c r="E59" s="16">
        <f>3603900+338300</f>
        <v>3942200</v>
      </c>
      <c r="F59" s="2"/>
      <c r="G59" s="2"/>
      <c r="I59" s="16">
        <f>338300+338300+338300</f>
        <v>1014900</v>
      </c>
    </row>
    <row r="60" spans="1:9" x14ac:dyDescent="0.2">
      <c r="A60" s="18" t="s">
        <v>35</v>
      </c>
      <c r="B60" s="75" t="s">
        <v>41</v>
      </c>
      <c r="D60" s="5"/>
      <c r="E60" s="16">
        <f>1195946.8+675800.86</f>
        <v>1871747.6600000001</v>
      </c>
      <c r="F60" s="2"/>
      <c r="G60" s="2"/>
      <c r="I60" s="16">
        <f>70809.59+33850+36975</f>
        <v>141634.59</v>
      </c>
    </row>
    <row r="61" spans="1:9" x14ac:dyDescent="0.2">
      <c r="A61" s="10" t="s">
        <v>2</v>
      </c>
      <c r="B61" s="2"/>
      <c r="D61" s="5"/>
      <c r="E61" s="2" t="s">
        <v>2</v>
      </c>
      <c r="F61" s="2"/>
      <c r="G61" s="2"/>
      <c r="I61" s="2"/>
    </row>
    <row r="62" spans="1:9" ht="12.75" x14ac:dyDescent="0.2">
      <c r="A62" s="80" t="s">
        <v>113</v>
      </c>
      <c r="B62" s="3" t="s">
        <v>114</v>
      </c>
      <c r="D62" s="5"/>
      <c r="E62" s="3">
        <v>10473077</v>
      </c>
      <c r="F62" s="2"/>
      <c r="G62" s="2"/>
      <c r="I62" s="2"/>
    </row>
    <row r="63" spans="1:9" ht="12.75" x14ac:dyDescent="0.2">
      <c r="A63" s="81" t="s">
        <v>112</v>
      </c>
      <c r="B63" s="2" t="s">
        <v>115</v>
      </c>
      <c r="D63" s="5"/>
      <c r="E63" s="2">
        <v>10473077</v>
      </c>
      <c r="F63" s="2"/>
      <c r="G63" s="2"/>
      <c r="I63" s="2"/>
    </row>
    <row r="64" spans="1:9" x14ac:dyDescent="0.2">
      <c r="A64" s="10"/>
      <c r="B64" s="2"/>
      <c r="D64" s="5"/>
      <c r="E64" s="2"/>
      <c r="F64" s="2"/>
      <c r="G64" s="2"/>
      <c r="I64" s="2"/>
    </row>
    <row r="65" spans="1:9" x14ac:dyDescent="0.2">
      <c r="A65" s="10"/>
      <c r="B65" s="2"/>
      <c r="D65" s="5"/>
      <c r="E65" s="2"/>
      <c r="F65" s="2"/>
      <c r="G65" s="2"/>
      <c r="I65" s="2"/>
    </row>
    <row r="66" spans="1:9" x14ac:dyDescent="0.2">
      <c r="A66" s="17" t="s">
        <v>18</v>
      </c>
      <c r="B66" s="72" t="s">
        <v>36</v>
      </c>
      <c r="D66" s="5"/>
      <c r="E66" s="3">
        <f>+E68+E72+E78-E87</f>
        <v>533286686774.74005</v>
      </c>
      <c r="F66" s="2"/>
      <c r="G66" s="2"/>
      <c r="I66" s="3">
        <f>+I68+I72+I78-I87</f>
        <v>190103121469.60999</v>
      </c>
    </row>
    <row r="67" spans="1:9" x14ac:dyDescent="0.2">
      <c r="A67" s="12" t="s">
        <v>64</v>
      </c>
      <c r="B67" s="2" t="s">
        <v>65</v>
      </c>
      <c r="D67" s="5"/>
      <c r="E67" s="2"/>
      <c r="F67" s="2"/>
      <c r="G67" s="2"/>
      <c r="I67" s="2"/>
    </row>
    <row r="68" spans="1:9" x14ac:dyDescent="0.2">
      <c r="A68" s="18" t="s">
        <v>37</v>
      </c>
      <c r="B68" s="74" t="s">
        <v>80</v>
      </c>
      <c r="D68" s="5"/>
      <c r="E68" s="3">
        <f>SUM(E69:E70)</f>
        <v>441931330000</v>
      </c>
      <c r="F68" s="160">
        <f>+E68/E66</f>
        <v>0.82869372320684143</v>
      </c>
      <c r="G68" s="2"/>
      <c r="H68" s="160">
        <f>+I68/I66</f>
        <v>0.8091351620682864</v>
      </c>
      <c r="I68" s="3">
        <f>SUM(I69:I70)</f>
        <v>153819120000</v>
      </c>
    </row>
    <row r="69" spans="1:9" x14ac:dyDescent="0.2">
      <c r="A69" s="18"/>
      <c r="B69" s="2" t="s">
        <v>63</v>
      </c>
      <c r="D69" s="5"/>
      <c r="E69" s="2">
        <v>367545060000</v>
      </c>
      <c r="F69" s="2"/>
      <c r="G69" s="2"/>
      <c r="I69" s="2"/>
    </row>
    <row r="70" spans="1:9" x14ac:dyDescent="0.2">
      <c r="A70" s="18"/>
      <c r="B70" s="74" t="s">
        <v>79</v>
      </c>
      <c r="D70" s="5"/>
      <c r="E70" s="2">
        <v>74386270000</v>
      </c>
      <c r="F70" s="2"/>
      <c r="G70" s="2"/>
      <c r="I70" s="2">
        <v>153819120000</v>
      </c>
    </row>
    <row r="71" spans="1:9" x14ac:dyDescent="0.2">
      <c r="A71" s="18"/>
      <c r="B71" s="74"/>
      <c r="D71" s="5"/>
      <c r="E71" s="3"/>
      <c r="F71" s="2"/>
      <c r="G71" s="2"/>
      <c r="I71" s="3"/>
    </row>
    <row r="72" spans="1:9" x14ac:dyDescent="0.2">
      <c r="A72" s="17" t="s">
        <v>19</v>
      </c>
      <c r="B72" s="72" t="s">
        <v>20</v>
      </c>
      <c r="D72" s="5"/>
      <c r="E72" s="3">
        <f>SUM(E73:E76)</f>
        <v>60735944712.279999</v>
      </c>
      <c r="F72" s="9"/>
      <c r="G72" s="2"/>
      <c r="I72" s="3">
        <f>SUM(I73:I76)</f>
        <v>24713615932.27</v>
      </c>
    </row>
    <row r="73" spans="1:9" x14ac:dyDescent="0.2">
      <c r="A73" s="12" t="s">
        <v>56</v>
      </c>
      <c r="B73" s="2" t="s">
        <v>86</v>
      </c>
      <c r="D73" s="5"/>
      <c r="E73" s="2">
        <f>3096385266.26+31275076.1</f>
        <v>3127660342.3600001</v>
      </c>
      <c r="F73" s="2"/>
      <c r="G73" s="2"/>
      <c r="I73" s="2">
        <f>197261200.53+223622003.21+625914881.31</f>
        <v>1046798085.05</v>
      </c>
    </row>
    <row r="74" spans="1:9" x14ac:dyDescent="0.2">
      <c r="A74" s="12" t="s">
        <v>85</v>
      </c>
      <c r="B74" s="2" t="s">
        <v>87</v>
      </c>
      <c r="D74" s="5"/>
      <c r="E74" s="2">
        <f>4385943021.79+704086351.38</f>
        <v>5090029373.1700001</v>
      </c>
      <c r="F74" s="2"/>
      <c r="G74" s="2"/>
      <c r="I74" s="2">
        <f>341676168.36+36917279.21+305129018.19</f>
        <v>683722465.75999999</v>
      </c>
    </row>
    <row r="75" spans="1:9" x14ac:dyDescent="0.2">
      <c r="A75" s="12" t="s">
        <v>92</v>
      </c>
      <c r="B75" s="2" t="s">
        <v>93</v>
      </c>
      <c r="D75" s="5"/>
      <c r="E75" s="2">
        <f>39770946814.96+5773465726.84</f>
        <v>45544412541.800003</v>
      </c>
      <c r="F75" s="2"/>
      <c r="G75" s="2"/>
      <c r="I75" s="2">
        <f>6170824074.02+10203581013.36+5397323310.73</f>
        <v>21771728398.110001</v>
      </c>
    </row>
    <row r="76" spans="1:9" x14ac:dyDescent="0.2">
      <c r="A76" s="12" t="s">
        <v>83</v>
      </c>
      <c r="B76" s="2" t="s">
        <v>88</v>
      </c>
      <c r="D76" s="5"/>
      <c r="E76" s="2">
        <f>6629542394.51+344300060.44</f>
        <v>6973842454.9499998</v>
      </c>
      <c r="F76" s="2"/>
      <c r="G76" s="2"/>
      <c r="I76" s="2">
        <f>552704165.69+139161610.6+519501207.06</f>
        <v>1211366983.3500001</v>
      </c>
    </row>
    <row r="77" spans="1:9" x14ac:dyDescent="0.2">
      <c r="A77" s="21"/>
      <c r="B77" s="76"/>
      <c r="D77" s="5"/>
      <c r="E77" s="77"/>
      <c r="F77" s="2"/>
      <c r="G77" s="2"/>
      <c r="I77" s="77"/>
    </row>
    <row r="78" spans="1:9" ht="24" x14ac:dyDescent="0.2">
      <c r="A78" s="17" t="s">
        <v>21</v>
      </c>
      <c r="B78" s="78" t="s">
        <v>42</v>
      </c>
      <c r="D78" s="5"/>
      <c r="E78" s="19">
        <f>SUM(E79:E85)</f>
        <v>30621725260.32</v>
      </c>
      <c r="F78" s="2"/>
      <c r="G78" s="2"/>
      <c r="I78" s="19">
        <f>SUM(I79:I85)</f>
        <v>11570385537.340002</v>
      </c>
    </row>
    <row r="79" spans="1:9" x14ac:dyDescent="0.2">
      <c r="A79" s="12" t="s">
        <v>89</v>
      </c>
      <c r="B79" s="2" t="s">
        <v>52</v>
      </c>
      <c r="D79" s="5"/>
      <c r="E79" s="2">
        <f>967282+18512980</f>
        <v>19480262</v>
      </c>
      <c r="F79" s="2"/>
      <c r="G79" s="2"/>
      <c r="I79" s="2"/>
    </row>
    <row r="80" spans="1:9" x14ac:dyDescent="0.2">
      <c r="A80" s="12" t="s">
        <v>54</v>
      </c>
      <c r="B80" s="2" t="s">
        <v>53</v>
      </c>
      <c r="D80" s="5"/>
      <c r="E80" s="2">
        <v>8430458798.8800001</v>
      </c>
      <c r="F80" s="2"/>
      <c r="G80" s="2"/>
      <c r="I80" s="2">
        <f>2612562066.05+380.03+1.21</f>
        <v>2612562447.2900004</v>
      </c>
    </row>
    <row r="81" spans="1:9" x14ac:dyDescent="0.2">
      <c r="A81" s="12" t="s">
        <v>99</v>
      </c>
      <c r="B81" s="2" t="s">
        <v>100</v>
      </c>
      <c r="D81" s="5"/>
      <c r="E81" s="2">
        <f>368220172.32+55001.89</f>
        <v>368275174.20999998</v>
      </c>
      <c r="F81" s="2"/>
      <c r="G81" s="2"/>
      <c r="I81" s="2">
        <f>155246975+2965796336.43+488168826</f>
        <v>3609212137.4299998</v>
      </c>
    </row>
    <row r="82" spans="1:9" x14ac:dyDescent="0.2">
      <c r="A82" s="12" t="s">
        <v>90</v>
      </c>
      <c r="B82" s="2" t="s">
        <v>91</v>
      </c>
      <c r="D82" s="5"/>
      <c r="E82" s="2">
        <v>399969708.20999998</v>
      </c>
      <c r="F82" s="2"/>
      <c r="G82" s="2"/>
      <c r="I82" s="2">
        <f>377493628.87+886529.4+4351269.53</f>
        <v>382731427.79999995</v>
      </c>
    </row>
    <row r="83" spans="1:9" x14ac:dyDescent="0.2">
      <c r="A83" s="12" t="s">
        <v>94</v>
      </c>
      <c r="B83" s="2" t="s">
        <v>96</v>
      </c>
      <c r="D83" s="5"/>
      <c r="E83" s="2">
        <f>12403438299.19+2608458217.12</f>
        <v>15011896516.310001</v>
      </c>
      <c r="F83" s="2"/>
      <c r="G83" s="2"/>
      <c r="I83" s="2">
        <f>134534504.28+915955258.83+113309106.23</f>
        <v>1163798869.3399999</v>
      </c>
    </row>
    <row r="84" spans="1:9" x14ac:dyDescent="0.2">
      <c r="A84" s="12" t="s">
        <v>95</v>
      </c>
      <c r="B84" s="2" t="s">
        <v>97</v>
      </c>
      <c r="D84" s="5"/>
      <c r="E84" s="2">
        <f>6362289580.29+28450258.42</f>
        <v>6390739838.71</v>
      </c>
      <c r="F84" s="2"/>
      <c r="G84" s="2"/>
      <c r="I84" s="2">
        <f>102539581.75+13200933.34+3363712219.2</f>
        <v>3479452734.29</v>
      </c>
    </row>
    <row r="85" spans="1:9" x14ac:dyDescent="0.2">
      <c r="A85" s="12" t="s">
        <v>116</v>
      </c>
      <c r="B85" s="2" t="s">
        <v>118</v>
      </c>
      <c r="D85" s="5"/>
      <c r="E85" s="2">
        <v>904962</v>
      </c>
      <c r="F85" s="2"/>
      <c r="G85" s="2"/>
      <c r="I85" s="2">
        <f>321034462.19+1593459</f>
        <v>322627921.19</v>
      </c>
    </row>
    <row r="86" spans="1:9" x14ac:dyDescent="0.2">
      <c r="B86" s="2"/>
      <c r="D86" s="5"/>
      <c r="E86" s="2"/>
      <c r="F86" s="2"/>
      <c r="G86" s="2"/>
      <c r="I86" s="2"/>
    </row>
    <row r="87" spans="1:9" x14ac:dyDescent="0.2">
      <c r="A87" s="21"/>
      <c r="B87" s="3" t="s">
        <v>55</v>
      </c>
      <c r="D87" s="5"/>
      <c r="E87" s="3">
        <f>SUM(E88:E90)</f>
        <v>2313197.8600000003</v>
      </c>
      <c r="F87" s="2"/>
      <c r="G87" s="2"/>
      <c r="I87" s="3">
        <f>SUM(I88:I88)</f>
        <v>0</v>
      </c>
    </row>
    <row r="88" spans="1:9" x14ac:dyDescent="0.2">
      <c r="A88" s="12" t="s">
        <v>83</v>
      </c>
      <c r="B88" s="2" t="s">
        <v>88</v>
      </c>
      <c r="D88" s="5"/>
      <c r="E88" s="2">
        <f>250727</f>
        <v>250727</v>
      </c>
      <c r="F88" s="2"/>
      <c r="G88" s="2"/>
      <c r="I88" s="2"/>
    </row>
    <row r="89" spans="1:9" x14ac:dyDescent="0.2">
      <c r="A89" s="12" t="s">
        <v>85</v>
      </c>
      <c r="B89" s="2" t="s">
        <v>111</v>
      </c>
      <c r="D89" s="5"/>
      <c r="E89" s="2">
        <v>297121</v>
      </c>
      <c r="F89" s="138"/>
      <c r="G89" s="138"/>
      <c r="H89" s="86"/>
      <c r="I89" s="138"/>
    </row>
    <row r="90" spans="1:9" x14ac:dyDescent="0.2">
      <c r="A90" s="12" t="s">
        <v>95</v>
      </c>
      <c r="B90" s="2" t="s">
        <v>97</v>
      </c>
      <c r="D90" s="5"/>
      <c r="E90" s="2">
        <v>1765349.86</v>
      </c>
      <c r="F90" s="138"/>
      <c r="G90" s="138"/>
      <c r="H90" s="86"/>
      <c r="I90" s="138"/>
    </row>
    <row r="91" spans="1:9" x14ac:dyDescent="0.2">
      <c r="B91" s="2"/>
      <c r="D91" s="5"/>
      <c r="E91" s="2"/>
      <c r="F91" s="2"/>
      <c r="G91" s="2"/>
      <c r="I91" s="3"/>
    </row>
    <row r="92" spans="1:9" x14ac:dyDescent="0.2">
      <c r="A92" s="13"/>
      <c r="B92" s="6"/>
      <c r="C92" s="139"/>
      <c r="D92" s="139"/>
      <c r="E92" s="6"/>
    </row>
    <row r="94" spans="1:9" x14ac:dyDescent="0.2">
      <c r="F94" s="2"/>
      <c r="G94" s="2"/>
      <c r="H94" s="2"/>
      <c r="I94" s="2"/>
    </row>
  </sheetData>
  <mergeCells count="14">
    <mergeCell ref="A1:C1"/>
    <mergeCell ref="D1:E1"/>
    <mergeCell ref="A2:C2"/>
    <mergeCell ref="D2:E2"/>
    <mergeCell ref="A5:B5"/>
    <mergeCell ref="O18:R20"/>
    <mergeCell ref="S18:V20"/>
    <mergeCell ref="B3:H3"/>
    <mergeCell ref="B4:H4"/>
    <mergeCell ref="F6:I6"/>
    <mergeCell ref="C6:E6"/>
    <mergeCell ref="O6:V9"/>
    <mergeCell ref="O10:R10"/>
    <mergeCell ref="S10:V10"/>
  </mergeCells>
  <printOptions horizontalCentered="1" verticalCentered="1"/>
  <pageMargins left="1.0629921259842521" right="0.39370078740157483" top="0.86614173228346458" bottom="0.59055118110236227" header="0.82677165354330717" footer="0.31496062992125984"/>
  <pageSetup scale="4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12B56-87A2-4B98-9B8F-6AD4C1965386}">
  <dimension ref="B1:I13"/>
  <sheetViews>
    <sheetView tabSelected="1" workbookViewId="0">
      <selection activeCell="J6" sqref="J6"/>
    </sheetView>
  </sheetViews>
  <sheetFormatPr baseColWidth="10" defaultRowHeight="12.75" x14ac:dyDescent="0.2"/>
  <cols>
    <col min="2" max="2" width="24.85546875" customWidth="1"/>
    <col min="3" max="4" width="13.42578125" bestFit="1" customWidth="1"/>
    <col min="5" max="5" width="8.85546875" bestFit="1" customWidth="1"/>
    <col min="6" max="6" width="23.42578125" customWidth="1"/>
    <col min="7" max="7" width="11.85546875" bestFit="1" customWidth="1"/>
    <col min="8" max="8" width="13.42578125" bestFit="1" customWidth="1"/>
    <col min="9" max="9" width="8.85546875" bestFit="1" customWidth="1"/>
  </cols>
  <sheetData>
    <row r="1" spans="2:9" ht="13.5" thickBot="1" x14ac:dyDescent="0.25"/>
    <row r="2" spans="2:9" x14ac:dyDescent="0.2">
      <c r="B2" s="177" t="s">
        <v>136</v>
      </c>
      <c r="C2" s="191"/>
      <c r="D2" s="191"/>
      <c r="E2" s="191"/>
      <c r="F2" s="191"/>
      <c r="G2" s="191"/>
      <c r="H2" s="191"/>
      <c r="I2" s="192"/>
    </row>
    <row r="3" spans="2:9" x14ac:dyDescent="0.2">
      <c r="B3" s="193"/>
      <c r="C3" s="194"/>
      <c r="D3" s="194"/>
      <c r="E3" s="194"/>
      <c r="F3" s="194"/>
      <c r="G3" s="194"/>
      <c r="H3" s="194"/>
      <c r="I3" s="195"/>
    </row>
    <row r="4" spans="2:9" x14ac:dyDescent="0.2">
      <c r="B4" s="193"/>
      <c r="C4" s="194"/>
      <c r="D4" s="194"/>
      <c r="E4" s="194"/>
      <c r="F4" s="194"/>
      <c r="G4" s="194"/>
      <c r="H4" s="194"/>
      <c r="I4" s="195"/>
    </row>
    <row r="5" spans="2:9" ht="13.5" thickBot="1" x14ac:dyDescent="0.25">
      <c r="B5" s="193"/>
      <c r="C5" s="194"/>
      <c r="D5" s="194"/>
      <c r="E5" s="194"/>
      <c r="F5" s="194"/>
      <c r="G5" s="194"/>
      <c r="H5" s="194"/>
      <c r="I5" s="195"/>
    </row>
    <row r="6" spans="2:9" ht="23.25" customHeight="1" x14ac:dyDescent="0.2">
      <c r="B6" s="217" t="s">
        <v>119</v>
      </c>
      <c r="C6" s="218"/>
      <c r="D6" s="218"/>
      <c r="E6" s="219"/>
      <c r="F6" s="220" t="s">
        <v>117</v>
      </c>
      <c r="G6" s="220"/>
      <c r="H6" s="220"/>
      <c r="I6" s="221"/>
    </row>
    <row r="7" spans="2:9" ht="33" customHeight="1" x14ac:dyDescent="0.2">
      <c r="B7" s="183" t="s">
        <v>137</v>
      </c>
      <c r="C7" s="173" t="s">
        <v>123</v>
      </c>
      <c r="D7" s="173" t="s">
        <v>134</v>
      </c>
      <c r="E7" s="173" t="s">
        <v>133</v>
      </c>
      <c r="F7" s="173" t="s">
        <v>137</v>
      </c>
      <c r="G7" s="173" t="s">
        <v>123</v>
      </c>
      <c r="H7" s="173" t="s">
        <v>134</v>
      </c>
      <c r="I7" s="174" t="s">
        <v>135</v>
      </c>
    </row>
    <row r="8" spans="2:9" ht="31.5" customHeight="1" x14ac:dyDescent="0.2">
      <c r="B8" s="211" t="s">
        <v>124</v>
      </c>
      <c r="C8" s="145">
        <v>1693458.8176300002</v>
      </c>
      <c r="D8" s="145">
        <v>1693824.609034</v>
      </c>
      <c r="E8" s="179">
        <v>0.99978404410819821</v>
      </c>
      <c r="F8" s="214" t="s">
        <v>124</v>
      </c>
      <c r="G8" s="145">
        <v>751073.74250298995</v>
      </c>
      <c r="H8" s="145">
        <v>2446632.3870000001</v>
      </c>
      <c r="I8" s="146">
        <v>0.30698266993184781</v>
      </c>
    </row>
    <row r="9" spans="2:9" ht="25.5" x14ac:dyDescent="0.2">
      <c r="B9" s="211" t="s">
        <v>125</v>
      </c>
      <c r="C9" s="145">
        <v>4964.3408127000012</v>
      </c>
      <c r="D9" s="145"/>
      <c r="E9" s="179"/>
      <c r="F9" s="214" t="s">
        <v>125</v>
      </c>
      <c r="G9" s="145">
        <v>3383.3257934700005</v>
      </c>
      <c r="H9" s="145"/>
      <c r="I9" s="146"/>
    </row>
    <row r="10" spans="2:9" ht="25.5" x14ac:dyDescent="0.2">
      <c r="B10" s="212" t="s">
        <v>126</v>
      </c>
      <c r="C10" s="184">
        <v>1698423.1584427003</v>
      </c>
      <c r="D10" s="184">
        <v>1693824.609034</v>
      </c>
      <c r="E10" s="185">
        <v>1.002714891131097</v>
      </c>
      <c r="F10" s="215" t="s">
        <v>126</v>
      </c>
      <c r="G10" s="184">
        <v>754457.06829645997</v>
      </c>
      <c r="H10" s="184">
        <v>2446632.3870000001</v>
      </c>
      <c r="I10" s="186">
        <v>0.30836552001241041</v>
      </c>
    </row>
    <row r="11" spans="2:9" ht="18.75" customHeight="1" x14ac:dyDescent="0.2">
      <c r="B11" s="211" t="s">
        <v>127</v>
      </c>
      <c r="C11" s="145">
        <v>533288.99997260002</v>
      </c>
      <c r="D11" s="145">
        <v>468804.03700000001</v>
      </c>
      <c r="E11" s="179">
        <v>1.1375520641529799</v>
      </c>
      <c r="F11" s="214" t="s">
        <v>127</v>
      </c>
      <c r="G11" s="145">
        <v>190103.12146960999</v>
      </c>
      <c r="H11" s="145">
        <v>170691.78</v>
      </c>
      <c r="I11" s="146">
        <v>1.1137215949684864</v>
      </c>
    </row>
    <row r="12" spans="2:9" ht="18.75" customHeight="1" x14ac:dyDescent="0.2">
      <c r="B12" s="211" t="s">
        <v>138</v>
      </c>
      <c r="C12" s="147">
        <v>3665.3225528600001</v>
      </c>
      <c r="D12" s="147"/>
      <c r="E12" s="180"/>
      <c r="F12" s="214" t="s">
        <v>128</v>
      </c>
      <c r="G12" s="147">
        <v>343.57401499999997</v>
      </c>
      <c r="H12" s="147"/>
      <c r="I12" s="148"/>
    </row>
    <row r="13" spans="2:9" ht="18.75" customHeight="1" thickBot="1" x14ac:dyDescent="0.25">
      <c r="B13" s="213" t="s">
        <v>129</v>
      </c>
      <c r="C13" s="187">
        <v>2228046.8358624405</v>
      </c>
      <c r="D13" s="187">
        <v>2162628.646034</v>
      </c>
      <c r="E13" s="188">
        <v>1.0302493865270903</v>
      </c>
      <c r="F13" s="216" t="s">
        <v>129</v>
      </c>
      <c r="G13" s="187">
        <v>944216.61575106997</v>
      </c>
      <c r="H13" s="187">
        <v>2617324.1669999999</v>
      </c>
      <c r="I13" s="189">
        <v>0.36075646557504543</v>
      </c>
    </row>
  </sheetData>
  <mergeCells count="3">
    <mergeCell ref="B2:I5"/>
    <mergeCell ref="B6:E6"/>
    <mergeCell ref="F6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A5A29-485E-4B99-A18E-2CF9DB1A9E44}">
  <dimension ref="A1:K61"/>
  <sheetViews>
    <sheetView topLeftCell="B13" workbookViewId="0">
      <selection activeCell="D12" sqref="D12"/>
    </sheetView>
  </sheetViews>
  <sheetFormatPr baseColWidth="10" defaultColWidth="11.42578125" defaultRowHeight="12.75" x14ac:dyDescent="0.2"/>
  <cols>
    <col min="1" max="1" width="21.7109375" style="14" bestFit="1" customWidth="1"/>
    <col min="2" max="2" width="54.28515625" style="14" bestFit="1" customWidth="1"/>
    <col min="3" max="3" width="11.42578125" style="14"/>
    <col min="4" max="4" width="14.28515625" style="14" bestFit="1" customWidth="1"/>
    <col min="5" max="5" width="14.7109375" style="14" bestFit="1" customWidth="1"/>
    <col min="6" max="6" width="21.5703125" style="14" bestFit="1" customWidth="1"/>
    <col min="7" max="7" width="11.42578125" style="14"/>
    <col min="8" max="9" width="20.140625" style="14" bestFit="1" customWidth="1"/>
    <col min="10" max="10" width="16.42578125" style="14" bestFit="1" customWidth="1"/>
    <col min="11" max="11" width="20.140625" style="14" bestFit="1" customWidth="1"/>
    <col min="12" max="16384" width="11.42578125" style="14"/>
  </cols>
  <sheetData>
    <row r="1" spans="1:11" ht="13.5" thickBot="1" x14ac:dyDescent="0.25">
      <c r="J1" s="48" t="e">
        <f>F7+F8+F9+F12</f>
        <v>#REF!</v>
      </c>
    </row>
    <row r="2" spans="1:11" ht="13.5" thickBot="1" x14ac:dyDescent="0.25">
      <c r="B2" s="24" t="s">
        <v>66</v>
      </c>
      <c r="F2" s="49"/>
      <c r="H2" s="49"/>
      <c r="I2" s="49"/>
      <c r="J2" s="49"/>
    </row>
    <row r="3" spans="1:11" x14ac:dyDescent="0.2">
      <c r="A3" s="50"/>
      <c r="B3" s="51"/>
      <c r="C3" s="51"/>
      <c r="D3" s="51"/>
      <c r="E3" s="51"/>
      <c r="F3" s="51"/>
      <c r="G3" s="52"/>
    </row>
    <row r="4" spans="1:11" x14ac:dyDescent="0.2">
      <c r="A4" s="53"/>
      <c r="G4" s="54"/>
    </row>
    <row r="5" spans="1:11" s="24" customFormat="1" x14ac:dyDescent="0.2">
      <c r="A5" s="25" t="s">
        <v>67</v>
      </c>
      <c r="B5" s="26" t="s">
        <v>68</v>
      </c>
      <c r="C5" s="27"/>
      <c r="D5" s="27"/>
      <c r="E5" s="27"/>
      <c r="F5" s="26" t="s">
        <v>69</v>
      </c>
      <c r="G5" s="28"/>
    </row>
    <row r="6" spans="1:11" x14ac:dyDescent="0.2">
      <c r="A6" s="55" t="s">
        <v>23</v>
      </c>
      <c r="B6" s="56" t="s">
        <v>22</v>
      </c>
      <c r="C6" s="3"/>
      <c r="D6" s="2"/>
      <c r="E6" s="2" t="s">
        <v>2</v>
      </c>
      <c r="F6" s="3" t="s">
        <v>2</v>
      </c>
      <c r="G6" s="54"/>
      <c r="I6" s="49"/>
      <c r="J6" s="49"/>
      <c r="K6" s="49"/>
    </row>
    <row r="7" spans="1:11" ht="15" x14ac:dyDescent="0.25">
      <c r="A7" s="57" t="s">
        <v>24</v>
      </c>
      <c r="B7" s="5" t="s">
        <v>27</v>
      </c>
      <c r="C7" s="2"/>
      <c r="D7" s="16" t="s">
        <v>2</v>
      </c>
      <c r="E7" s="11" t="s">
        <v>2</v>
      </c>
      <c r="F7" s="11" t="e">
        <f>#REF!</f>
        <v>#REF!</v>
      </c>
      <c r="G7" s="54"/>
      <c r="H7" s="11"/>
      <c r="I7" s="49"/>
      <c r="K7" s="49"/>
    </row>
    <row r="8" spans="1:11" x14ac:dyDescent="0.2">
      <c r="A8" s="57" t="s">
        <v>58</v>
      </c>
      <c r="B8" s="5" t="s">
        <v>59</v>
      </c>
      <c r="C8" s="2"/>
      <c r="D8" s="16"/>
      <c r="E8" s="16" t="s">
        <v>2</v>
      </c>
      <c r="F8" s="16" t="e">
        <f>#REF!</f>
        <v>#REF!</v>
      </c>
      <c r="G8" s="54"/>
      <c r="H8" s="16"/>
      <c r="I8" s="49"/>
      <c r="J8" s="49"/>
    </row>
    <row r="9" spans="1:11" x14ac:dyDescent="0.2">
      <c r="A9" s="57" t="s">
        <v>25</v>
      </c>
      <c r="B9" s="5" t="s">
        <v>26</v>
      </c>
      <c r="C9" s="2"/>
      <c r="D9" s="16"/>
      <c r="E9" s="29" t="s">
        <v>2</v>
      </c>
      <c r="F9" s="49" t="e">
        <f>#REF!</f>
        <v>#REF!</v>
      </c>
      <c r="G9" s="54"/>
      <c r="H9" s="29"/>
      <c r="I9" s="49"/>
      <c r="J9" s="49"/>
    </row>
    <row r="10" spans="1:11" x14ac:dyDescent="0.2">
      <c r="A10" s="58" t="s">
        <v>32</v>
      </c>
      <c r="B10" s="20" t="s">
        <v>40</v>
      </c>
      <c r="C10" s="2"/>
      <c r="D10" s="16"/>
      <c r="E10" s="30" t="s">
        <v>2</v>
      </c>
      <c r="F10" s="16" t="e">
        <f>#REF!</f>
        <v>#REF!</v>
      </c>
      <c r="G10" s="54"/>
      <c r="H10" s="16"/>
      <c r="I10" s="49"/>
      <c r="J10" s="49"/>
      <c r="K10" s="49"/>
    </row>
    <row r="11" spans="1:11" x14ac:dyDescent="0.2">
      <c r="A11" s="57" t="s">
        <v>30</v>
      </c>
      <c r="B11" s="20" t="s">
        <v>70</v>
      </c>
      <c r="F11" s="7" t="e">
        <f>#REF!</f>
        <v>#REF!</v>
      </c>
      <c r="G11" s="54"/>
      <c r="H11" s="7"/>
      <c r="I11" s="49"/>
      <c r="J11" s="49"/>
    </row>
    <row r="12" spans="1:11" x14ac:dyDescent="0.2">
      <c r="A12" s="57" t="s">
        <v>24</v>
      </c>
      <c r="B12" s="5" t="s">
        <v>43</v>
      </c>
      <c r="C12" s="2"/>
      <c r="D12" s="16"/>
      <c r="E12" s="30" t="s">
        <v>2</v>
      </c>
      <c r="F12" s="30" t="e">
        <f>#REF!</f>
        <v>#REF!</v>
      </c>
      <c r="G12" s="54"/>
      <c r="H12" s="30"/>
      <c r="I12" s="49"/>
      <c r="J12" s="49"/>
    </row>
    <row r="13" spans="1:11" ht="13.5" thickBot="1" x14ac:dyDescent="0.25">
      <c r="A13" s="53"/>
      <c r="B13" s="1" t="s">
        <v>71</v>
      </c>
      <c r="E13" s="31" t="s">
        <v>72</v>
      </c>
      <c r="F13" s="32" t="e">
        <f>SUM(F7:F12)</f>
        <v>#REF!</v>
      </c>
      <c r="G13" s="54"/>
      <c r="H13" s="49"/>
      <c r="I13" s="49"/>
      <c r="J13" s="49"/>
      <c r="K13" s="49"/>
    </row>
    <row r="14" spans="1:11" ht="13.5" thickTop="1" x14ac:dyDescent="0.2">
      <c r="A14" s="53"/>
      <c r="B14" s="24" t="s">
        <v>55</v>
      </c>
      <c r="F14" s="59"/>
      <c r="G14" s="54"/>
      <c r="I14" s="59"/>
    </row>
    <row r="15" spans="1:11" x14ac:dyDescent="0.2">
      <c r="A15" s="18" t="s">
        <v>24</v>
      </c>
      <c r="B15" s="5" t="s">
        <v>27</v>
      </c>
      <c r="F15" s="16">
        <v>17047000</v>
      </c>
      <c r="G15" s="54"/>
      <c r="I15" s="59"/>
    </row>
    <row r="16" spans="1:11" x14ac:dyDescent="0.2">
      <c r="A16" s="18" t="s">
        <v>25</v>
      </c>
      <c r="B16" s="5" t="s">
        <v>26</v>
      </c>
      <c r="F16" s="16">
        <v>1601000</v>
      </c>
      <c r="G16" s="54"/>
      <c r="I16" s="59"/>
    </row>
    <row r="17" spans="1:9" ht="13.5" thickBot="1" x14ac:dyDescent="0.25">
      <c r="A17" s="18" t="s">
        <v>30</v>
      </c>
      <c r="B17" s="20" t="s">
        <v>39</v>
      </c>
      <c r="F17" s="16">
        <v>3777000</v>
      </c>
      <c r="G17" s="54"/>
      <c r="I17" s="59"/>
    </row>
    <row r="18" spans="1:9" ht="13.5" thickBot="1" x14ac:dyDescent="0.25">
      <c r="A18" s="18"/>
      <c r="B18" s="20"/>
      <c r="F18" s="47">
        <f>SUM(F15:F17)</f>
        <v>22425000</v>
      </c>
      <c r="G18" s="54"/>
      <c r="I18" s="59"/>
    </row>
    <row r="19" spans="1:9" x14ac:dyDescent="0.2">
      <c r="A19" s="18"/>
      <c r="B19" s="20"/>
      <c r="F19" s="16"/>
      <c r="G19" s="54"/>
      <c r="I19" s="59"/>
    </row>
    <row r="20" spans="1:9" ht="13.5" thickBot="1" x14ac:dyDescent="0.25">
      <c r="A20" s="60"/>
      <c r="B20" s="61"/>
      <c r="C20" s="61"/>
      <c r="D20" s="61"/>
      <c r="E20" s="61"/>
      <c r="F20" s="48" t="e">
        <f>F13-F18</f>
        <v>#REF!</v>
      </c>
      <c r="G20" s="62"/>
      <c r="H20" s="59"/>
      <c r="I20" s="49"/>
    </row>
    <row r="21" spans="1:9" x14ac:dyDescent="0.2">
      <c r="F21" s="59"/>
      <c r="I21" s="63"/>
    </row>
    <row r="22" spans="1:9" x14ac:dyDescent="0.2">
      <c r="F22" s="59"/>
    </row>
    <row r="23" spans="1:9" ht="13.5" thickBot="1" x14ac:dyDescent="0.25">
      <c r="F23" s="59"/>
    </row>
    <row r="24" spans="1:9" x14ac:dyDescent="0.2">
      <c r="A24" s="50"/>
      <c r="B24" s="51"/>
      <c r="C24" s="51"/>
      <c r="D24" s="51"/>
      <c r="E24" s="51"/>
      <c r="F24" s="64"/>
      <c r="G24" s="52"/>
    </row>
    <row r="25" spans="1:9" ht="13.5" thickBot="1" x14ac:dyDescent="0.25">
      <c r="A25" s="53"/>
      <c r="F25" s="59"/>
      <c r="G25" s="54"/>
    </row>
    <row r="26" spans="1:9" ht="13.5" thickBot="1" x14ac:dyDescent="0.25">
      <c r="A26" s="33" t="s">
        <v>67</v>
      </c>
      <c r="B26" s="34" t="s">
        <v>73</v>
      </c>
      <c r="C26" s="27"/>
      <c r="D26" s="27"/>
      <c r="E26" s="27"/>
      <c r="F26" s="34" t="s">
        <v>69</v>
      </c>
      <c r="G26" s="54"/>
    </row>
    <row r="27" spans="1:9" x14ac:dyDescent="0.2">
      <c r="A27" s="35"/>
      <c r="B27" s="27"/>
      <c r="C27" s="27"/>
      <c r="D27" s="27"/>
      <c r="E27" s="27"/>
      <c r="F27" s="27"/>
      <c r="G27" s="54"/>
    </row>
    <row r="28" spans="1:9" x14ac:dyDescent="0.2">
      <c r="A28" s="55" t="s">
        <v>28</v>
      </c>
      <c r="B28" s="56" t="s">
        <v>29</v>
      </c>
      <c r="C28" s="2"/>
      <c r="D28" s="16"/>
      <c r="E28" s="30"/>
      <c r="F28" s="3" t="s">
        <v>2</v>
      </c>
      <c r="G28" s="54"/>
    </row>
    <row r="29" spans="1:9" x14ac:dyDescent="0.2">
      <c r="A29" s="57" t="s">
        <v>31</v>
      </c>
      <c r="B29" s="20" t="s">
        <v>38</v>
      </c>
      <c r="C29" s="2"/>
      <c r="D29" s="16"/>
      <c r="E29" s="30"/>
      <c r="G29" s="54"/>
    </row>
    <row r="30" spans="1:9" x14ac:dyDescent="0.2">
      <c r="A30" s="57" t="s">
        <v>30</v>
      </c>
      <c r="B30" s="20" t="s">
        <v>74</v>
      </c>
      <c r="C30" s="2"/>
      <c r="D30" s="16"/>
      <c r="E30" s="30" t="s">
        <v>2</v>
      </c>
      <c r="F30" s="65" t="e">
        <f>#REF!</f>
        <v>#REF!</v>
      </c>
      <c r="G30" s="54"/>
    </row>
    <row r="31" spans="1:9" x14ac:dyDescent="0.2">
      <c r="G31" s="54"/>
    </row>
    <row r="32" spans="1:9" ht="13.5" thickBot="1" x14ac:dyDescent="0.25">
      <c r="A32" s="58"/>
      <c r="B32" s="20"/>
      <c r="C32" s="2"/>
      <c r="D32" s="16"/>
      <c r="E32" s="36">
        <v>1</v>
      </c>
      <c r="F32" s="66" t="e">
        <f>SUM(F30:F31)</f>
        <v>#REF!</v>
      </c>
      <c r="G32" s="54"/>
    </row>
    <row r="33" spans="1:7" ht="13.5" thickTop="1" x14ac:dyDescent="0.2">
      <c r="A33" s="57"/>
      <c r="B33" s="56" t="s">
        <v>2</v>
      </c>
      <c r="C33" s="2"/>
      <c r="D33" s="16"/>
      <c r="E33" s="36"/>
      <c r="F33" s="67" t="s">
        <v>2</v>
      </c>
      <c r="G33" s="54"/>
    </row>
    <row r="34" spans="1:7" x14ac:dyDescent="0.2">
      <c r="A34" s="55" t="s">
        <v>33</v>
      </c>
      <c r="B34" s="56" t="s">
        <v>34</v>
      </c>
      <c r="C34" s="2"/>
      <c r="D34" s="16"/>
      <c r="E34" s="36"/>
      <c r="F34" s="3" t="s">
        <v>2</v>
      </c>
      <c r="G34" s="54"/>
    </row>
    <row r="35" spans="1:7" x14ac:dyDescent="0.2">
      <c r="A35" s="57" t="s">
        <v>50</v>
      </c>
      <c r="B35" s="20" t="s">
        <v>51</v>
      </c>
      <c r="C35" s="2"/>
      <c r="D35" s="16"/>
      <c r="E35" s="36" t="s">
        <v>2</v>
      </c>
      <c r="F35" s="2" t="e">
        <f>#REF!</f>
        <v>#REF!</v>
      </c>
      <c r="G35" s="54"/>
    </row>
    <row r="36" spans="1:7" ht="15" x14ac:dyDescent="0.25">
      <c r="A36" s="57" t="s">
        <v>35</v>
      </c>
      <c r="B36" s="68" t="s">
        <v>41</v>
      </c>
      <c r="C36" s="2"/>
      <c r="D36" s="16"/>
      <c r="E36" s="37" t="s">
        <v>2</v>
      </c>
      <c r="F36" s="16" t="e">
        <f>#REF!</f>
        <v>#REF!</v>
      </c>
      <c r="G36" s="54"/>
    </row>
    <row r="37" spans="1:7" ht="13.5" thickBot="1" x14ac:dyDescent="0.25">
      <c r="A37" s="57"/>
      <c r="B37" s="68"/>
      <c r="C37" s="2"/>
      <c r="D37" s="16"/>
      <c r="E37" s="36">
        <v>2</v>
      </c>
      <c r="F37" s="66" t="e">
        <f>SUM(F35:F36)</f>
        <v>#REF!</v>
      </c>
      <c r="G37" s="54"/>
    </row>
    <row r="38" spans="1:7" ht="15.75" thickTop="1" x14ac:dyDescent="0.25">
      <c r="A38" s="57"/>
      <c r="B38" s="68"/>
      <c r="C38" s="2"/>
      <c r="D38" s="16"/>
      <c r="E38" s="37"/>
      <c r="F38" s="16"/>
      <c r="G38" s="54"/>
    </row>
    <row r="39" spans="1:7" x14ac:dyDescent="0.2">
      <c r="A39" s="38" t="s">
        <v>2</v>
      </c>
      <c r="B39" s="5"/>
      <c r="C39" s="2"/>
      <c r="D39" s="2"/>
      <c r="E39" s="39" t="s">
        <v>2</v>
      </c>
      <c r="F39" s="2" t="s">
        <v>2</v>
      </c>
      <c r="G39" s="54"/>
    </row>
    <row r="40" spans="1:7" x14ac:dyDescent="0.2">
      <c r="A40" s="55" t="s">
        <v>18</v>
      </c>
      <c r="B40" s="56" t="s">
        <v>36</v>
      </c>
      <c r="C40" s="2"/>
      <c r="D40" s="2"/>
      <c r="E40" s="6"/>
      <c r="F40" s="3" t="s">
        <v>2</v>
      </c>
      <c r="G40" s="54"/>
    </row>
    <row r="41" spans="1:7" x14ac:dyDescent="0.2">
      <c r="A41" s="40" t="s">
        <v>64</v>
      </c>
      <c r="B41" s="5" t="s">
        <v>65</v>
      </c>
      <c r="C41" s="2"/>
      <c r="D41" s="2" t="s">
        <v>2</v>
      </c>
      <c r="E41" s="5"/>
      <c r="F41" s="2" t="e">
        <f>#REF!</f>
        <v>#REF!</v>
      </c>
      <c r="G41" s="54"/>
    </row>
    <row r="42" spans="1:7" x14ac:dyDescent="0.2">
      <c r="A42" s="57" t="s">
        <v>37</v>
      </c>
      <c r="B42" s="20" t="s">
        <v>14</v>
      </c>
      <c r="C42" s="2"/>
      <c r="D42" s="2"/>
      <c r="E42" s="6"/>
      <c r="F42" s="2" t="e">
        <f>#REF!</f>
        <v>#REF!</v>
      </c>
      <c r="G42" s="54"/>
    </row>
    <row r="43" spans="1:7" ht="13.5" thickBot="1" x14ac:dyDescent="0.25">
      <c r="A43" s="57"/>
      <c r="B43" s="20"/>
      <c r="C43" s="2"/>
      <c r="D43" s="2"/>
      <c r="E43" s="36">
        <v>3</v>
      </c>
      <c r="F43" s="41" t="e">
        <f>SUM(F41:F42)</f>
        <v>#REF!</v>
      </c>
      <c r="G43" s="54"/>
    </row>
    <row r="44" spans="1:7" ht="13.5" thickTop="1" x14ac:dyDescent="0.2">
      <c r="A44" s="57"/>
      <c r="B44" s="5"/>
      <c r="C44" s="2"/>
      <c r="D44" s="2"/>
      <c r="E44" s="6"/>
      <c r="F44" s="3"/>
      <c r="G44" s="54"/>
    </row>
    <row r="45" spans="1:7" x14ac:dyDescent="0.2">
      <c r="A45" s="55" t="s">
        <v>19</v>
      </c>
      <c r="B45" s="56" t="s">
        <v>20</v>
      </c>
      <c r="C45" s="9"/>
      <c r="D45" s="2"/>
      <c r="E45" s="6"/>
      <c r="F45" s="69">
        <f>F48+F47+F46+F49</f>
        <v>6479160495.2999954</v>
      </c>
      <c r="G45" s="54"/>
    </row>
    <row r="46" spans="1:7" x14ac:dyDescent="0.2">
      <c r="A46" s="18" t="s">
        <v>56</v>
      </c>
      <c r="B46" s="23" t="s">
        <v>57</v>
      </c>
      <c r="C46" s="2"/>
      <c r="D46" s="2"/>
      <c r="E46" s="4" t="s">
        <v>2</v>
      </c>
      <c r="F46" s="4">
        <v>2647065050.3499951</v>
      </c>
      <c r="G46" s="54"/>
    </row>
    <row r="47" spans="1:7" x14ac:dyDescent="0.2">
      <c r="A47" s="21" t="s">
        <v>85</v>
      </c>
      <c r="B47" s="22" t="s">
        <v>82</v>
      </c>
      <c r="C47" s="2"/>
      <c r="D47" s="2"/>
      <c r="E47" s="4"/>
      <c r="F47" s="4">
        <v>2799156030.6799998</v>
      </c>
      <c r="G47" s="54"/>
    </row>
    <row r="48" spans="1:7" x14ac:dyDescent="0.2">
      <c r="A48" s="21" t="s">
        <v>81</v>
      </c>
      <c r="B48" s="22" t="s">
        <v>82</v>
      </c>
      <c r="C48" s="2"/>
      <c r="D48" s="2"/>
      <c r="E48" s="4"/>
      <c r="F48" s="4">
        <v>725652375.46000016</v>
      </c>
      <c r="G48" s="54"/>
    </row>
    <row r="49" spans="1:7" ht="22.5" x14ac:dyDescent="0.2">
      <c r="A49" s="21" t="s">
        <v>83</v>
      </c>
      <c r="B49" s="22" t="s">
        <v>84</v>
      </c>
      <c r="C49" s="2"/>
      <c r="D49" s="2"/>
      <c r="E49" s="4"/>
      <c r="F49" s="4">
        <v>307287038.81</v>
      </c>
      <c r="G49" s="54"/>
    </row>
    <row r="50" spans="1:7" x14ac:dyDescent="0.2">
      <c r="A50" s="57"/>
      <c r="B50" s="23"/>
      <c r="C50" s="2"/>
      <c r="D50" s="2"/>
      <c r="E50" s="36"/>
      <c r="F50" s="2"/>
      <c r="G50" s="54"/>
    </row>
    <row r="51" spans="1:7" x14ac:dyDescent="0.2">
      <c r="A51" s="57"/>
      <c r="B51" s="23"/>
      <c r="C51" s="2"/>
      <c r="D51" s="2"/>
      <c r="E51" s="36"/>
      <c r="F51" s="2"/>
      <c r="G51" s="54"/>
    </row>
    <row r="52" spans="1:7" x14ac:dyDescent="0.2">
      <c r="A52" s="55" t="s">
        <v>21</v>
      </c>
      <c r="B52" s="70" t="s">
        <v>42</v>
      </c>
      <c r="C52" s="2"/>
      <c r="D52" s="2"/>
      <c r="E52" s="5"/>
      <c r="F52" s="19" t="s">
        <v>2</v>
      </c>
      <c r="G52" s="54"/>
    </row>
    <row r="53" spans="1:7" ht="13.5" thickBot="1" x14ac:dyDescent="0.25">
      <c r="A53" s="57" t="s">
        <v>54</v>
      </c>
      <c r="B53" s="46" t="s">
        <v>53</v>
      </c>
      <c r="C53" s="2"/>
      <c r="D53" s="2"/>
      <c r="E53" s="36">
        <v>5</v>
      </c>
      <c r="F53" s="42" t="e">
        <f>#REF!</f>
        <v>#REF!</v>
      </c>
      <c r="G53" s="54"/>
    </row>
    <row r="54" spans="1:7" ht="13.5" thickTop="1" x14ac:dyDescent="0.2">
      <c r="A54" s="53"/>
      <c r="G54" s="54"/>
    </row>
    <row r="55" spans="1:7" ht="13.5" thickBot="1" x14ac:dyDescent="0.25">
      <c r="A55" s="53"/>
      <c r="B55" s="5" t="s">
        <v>75</v>
      </c>
      <c r="E55" s="31" t="s">
        <v>76</v>
      </c>
      <c r="F55" s="71" t="e">
        <f>F32+F37+F42+F45+F53</f>
        <v>#REF!</v>
      </c>
      <c r="G55" s="54"/>
    </row>
    <row r="56" spans="1:7" ht="14.25" thickTop="1" thickBot="1" x14ac:dyDescent="0.25">
      <c r="A56" s="53"/>
      <c r="G56" s="54"/>
    </row>
    <row r="57" spans="1:7" ht="13.5" thickBot="1" x14ac:dyDescent="0.25">
      <c r="A57" s="53"/>
      <c r="B57" s="24" t="s">
        <v>77</v>
      </c>
      <c r="C57" s="24"/>
      <c r="D57" s="24"/>
      <c r="E57" s="24" t="s">
        <v>78</v>
      </c>
      <c r="F57" s="43" t="e">
        <f>F13-F18+F55</f>
        <v>#REF!</v>
      </c>
      <c r="G57" s="54"/>
    </row>
    <row r="58" spans="1:7" x14ac:dyDescent="0.2">
      <c r="A58" s="53"/>
      <c r="G58" s="54"/>
    </row>
    <row r="59" spans="1:7" ht="21.75" customHeight="1" x14ac:dyDescent="0.2">
      <c r="A59" s="53"/>
      <c r="F59" s="45" t="e">
        <f>#REF!</f>
        <v>#REF!</v>
      </c>
      <c r="G59" s="54"/>
    </row>
    <row r="60" spans="1:7" x14ac:dyDescent="0.2">
      <c r="A60" s="53"/>
      <c r="G60" s="54"/>
    </row>
    <row r="61" spans="1:7" ht="13.5" thickBot="1" x14ac:dyDescent="0.25">
      <c r="A61" s="60"/>
      <c r="B61" s="61"/>
      <c r="C61" s="61"/>
      <c r="D61" s="61"/>
      <c r="E61" s="61"/>
      <c r="F61" s="44" t="e">
        <f>F57-F59</f>
        <v>#REF!</v>
      </c>
      <c r="G61" s="62"/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e4da831-41e5-4a27-8463-f52404d629a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C8BCEC9E4758B4F84540E16AE0A99A0" ma:contentTypeVersion="13" ma:contentTypeDescription="Crear nuevo documento." ma:contentTypeScope="" ma:versionID="c205cb3bd4d4979ca15f4c11e54daabe">
  <xsd:schema xmlns:xsd="http://www.w3.org/2001/XMLSchema" xmlns:xs="http://www.w3.org/2001/XMLSchema" xmlns:p="http://schemas.microsoft.com/office/2006/metadata/properties" xmlns:ns3="be4da831-41e5-4a27-8463-f52404d629ae" xmlns:ns4="b17221c6-4c78-4db3-8140-58dc70740a93" targetNamespace="http://schemas.microsoft.com/office/2006/metadata/properties" ma:root="true" ma:fieldsID="5835a70d8454fb7615a549dd71b2f6d8" ns3:_="" ns4:_="">
    <xsd:import namespace="be4da831-41e5-4a27-8463-f52404d629ae"/>
    <xsd:import namespace="b17221c6-4c78-4db3-8140-58dc70740a9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da831-41e5-4a27-8463-f52404d629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7221c6-4c78-4db3-8140-58dc70740a93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FFF1AD-4612-456E-BC6C-E8310DEA6A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8E3E26-2640-4BC1-88AC-8E7139684120}">
  <ds:schemaRefs>
    <ds:schemaRef ds:uri="http://www.w3.org/XML/1998/namespace"/>
    <ds:schemaRef ds:uri="b17221c6-4c78-4db3-8140-58dc70740a93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be4da831-41e5-4a27-8463-f52404d629ae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21AC979-669E-4FFD-ACA6-420F7E2EC5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4da831-41e5-4a27-8463-f52404d629ae"/>
    <ds:schemaRef ds:uri="b17221c6-4c78-4db3-8140-58dc70740a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Estructura De Ingresos</vt:lpstr>
      <vt:lpstr>Consolidado Estructur De Ingres</vt:lpstr>
      <vt:lpstr>cartera</vt:lpstr>
      <vt:lpstr>'Estructura De Ingresos'!Área_de_impresión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Division Finanzas</dc:creator>
  <cp:lastModifiedBy>Ricardo Enrique Osorio Carreno</cp:lastModifiedBy>
  <cp:lastPrinted>2023-10-12T13:58:01Z</cp:lastPrinted>
  <dcterms:created xsi:type="dcterms:W3CDTF">1997-11-10T20:17:17Z</dcterms:created>
  <dcterms:modified xsi:type="dcterms:W3CDTF">2024-04-12T17:31:44Z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0x0101003C8BCEC9E4758B4F84540E16AE0A99A0</vt:lpwstr>
  </property>
</Properties>
</file>